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NP\트레이더용 퀀트\"/>
    </mc:Choice>
  </mc:AlternateContent>
  <xr:revisionPtr revIDLastSave="0" documentId="13_ncr:40009_{C7A4C14A-FBDB-4A9A-AA93-3EFC7EBA036B}" xr6:coauthVersionLast="44" xr6:coauthVersionMax="44" xr10:uidLastSave="{00000000-0000-0000-0000-000000000000}"/>
  <bookViews>
    <workbookView xWindow="-28920" yWindow="-120" windowWidth="29040" windowHeight="16440"/>
  </bookViews>
  <sheets>
    <sheet name="20240214" sheetId="1" r:id="rId1"/>
  </sheets>
  <definedNames>
    <definedName name="_xlnm._FilterDatabase" localSheetId="0" hidden="1">'20240214'!$A$1:$I$140</definedName>
  </definedNames>
  <calcPr calcId="0"/>
</workbook>
</file>

<file path=xl/calcChain.xml><?xml version="1.0" encoding="utf-8"?>
<calcChain xmlns="http://schemas.openxmlformats.org/spreadsheetml/2006/main">
  <c r="K140" i="1" l="1"/>
  <c r="K121" i="1"/>
  <c r="K113" i="1"/>
  <c r="K97" i="1"/>
  <c r="K76" i="1"/>
  <c r="I131" i="1"/>
  <c r="I22" i="1"/>
  <c r="I43" i="1"/>
  <c r="I122" i="1"/>
  <c r="I101" i="1"/>
  <c r="I45" i="1"/>
  <c r="I132" i="1"/>
  <c r="I133" i="1"/>
  <c r="I2" i="1"/>
  <c r="I35" i="1"/>
  <c r="I108" i="1"/>
  <c r="I50" i="1"/>
  <c r="I19" i="1"/>
  <c r="I67" i="1"/>
  <c r="I68" i="1"/>
  <c r="I125" i="1"/>
  <c r="I135" i="1"/>
  <c r="I69" i="1"/>
  <c r="I4" i="1"/>
  <c r="I93" i="1"/>
  <c r="I23" i="1"/>
  <c r="I110" i="1"/>
  <c r="I83" i="1"/>
  <c r="I40" i="1"/>
  <c r="I85" i="1"/>
  <c r="I113" i="1"/>
  <c r="I34" i="1"/>
  <c r="I120" i="1"/>
  <c r="I129" i="1"/>
  <c r="I130" i="1"/>
  <c r="F38" i="1"/>
  <c r="I38" i="1" s="1"/>
  <c r="F77" i="1"/>
  <c r="I77" i="1" s="1"/>
  <c r="F5" i="1"/>
  <c r="I5" i="1" s="1"/>
  <c r="F52" i="1"/>
  <c r="I52" i="1" s="1"/>
  <c r="F42" i="1"/>
  <c r="I42" i="1" s="1"/>
  <c r="F8" i="1"/>
  <c r="I8" i="1" s="1"/>
  <c r="F98" i="1"/>
  <c r="I98" i="1" s="1"/>
  <c r="F99" i="1"/>
  <c r="I99" i="1" s="1"/>
  <c r="F11" i="1"/>
  <c r="I11" i="1" s="1"/>
  <c r="F54" i="1"/>
  <c r="I54" i="1" s="1"/>
  <c r="F100" i="1"/>
  <c r="I100" i="1" s="1"/>
  <c r="F14" i="1"/>
  <c r="I14" i="1" s="1"/>
  <c r="F16" i="1"/>
  <c r="I16" i="1" s="1"/>
  <c r="F49" i="1"/>
  <c r="I49" i="1" s="1"/>
  <c r="F24" i="1"/>
  <c r="I24" i="1" s="1"/>
  <c r="F39" i="1"/>
  <c r="I39" i="1" s="1"/>
  <c r="F55" i="1"/>
  <c r="I55" i="1" s="1"/>
  <c r="F56" i="1"/>
  <c r="I56" i="1" s="1"/>
  <c r="F131" i="1"/>
  <c r="F22" i="1"/>
  <c r="F43" i="1"/>
  <c r="F122" i="1"/>
  <c r="F101" i="1"/>
  <c r="F45" i="1"/>
  <c r="F36" i="1"/>
  <c r="I36" i="1" s="1"/>
  <c r="F21" i="1"/>
  <c r="I21" i="1" s="1"/>
  <c r="F124" i="1"/>
  <c r="I124" i="1" s="1"/>
  <c r="F30" i="1"/>
  <c r="I30" i="1" s="1"/>
  <c r="F6" i="1"/>
  <c r="I6" i="1" s="1"/>
  <c r="F102" i="1"/>
  <c r="I102" i="1" s="1"/>
  <c r="F89" i="1"/>
  <c r="I89" i="1" s="1"/>
  <c r="F57" i="1"/>
  <c r="I57" i="1" s="1"/>
  <c r="F103" i="1"/>
  <c r="I103" i="1" s="1"/>
  <c r="F104" i="1"/>
  <c r="I104" i="1" s="1"/>
  <c r="F58" i="1"/>
  <c r="I58" i="1" s="1"/>
  <c r="F13" i="1"/>
  <c r="I13" i="1" s="1"/>
  <c r="F59" i="1"/>
  <c r="I59" i="1" s="1"/>
  <c r="F106" i="1"/>
  <c r="I106" i="1" s="1"/>
  <c r="F107" i="1"/>
  <c r="I107" i="1" s="1"/>
  <c r="F29" i="1"/>
  <c r="I29" i="1" s="1"/>
  <c r="F60" i="1"/>
  <c r="I60" i="1" s="1"/>
  <c r="F44" i="1"/>
  <c r="I44" i="1" s="1"/>
  <c r="F132" i="1"/>
  <c r="F133" i="1"/>
  <c r="F2" i="1"/>
  <c r="F35" i="1"/>
  <c r="F108" i="1"/>
  <c r="F50" i="1"/>
  <c r="F17" i="1"/>
  <c r="I17" i="1" s="1"/>
  <c r="F18" i="1"/>
  <c r="I18" i="1" s="1"/>
  <c r="F78" i="1"/>
  <c r="I78" i="1" s="1"/>
  <c r="F90" i="1"/>
  <c r="I90" i="1" s="1"/>
  <c r="F25" i="1"/>
  <c r="I25" i="1" s="1"/>
  <c r="F31" i="1"/>
  <c r="I31" i="1" s="1"/>
  <c r="F3" i="1"/>
  <c r="I3" i="1" s="1"/>
  <c r="F61" i="1"/>
  <c r="I61" i="1" s="1"/>
  <c r="F134" i="1"/>
  <c r="I134" i="1" s="1"/>
  <c r="F114" i="1"/>
  <c r="I114" i="1" s="1"/>
  <c r="F46" i="1"/>
  <c r="I46" i="1" s="1"/>
  <c r="F62" i="1"/>
  <c r="I62" i="1" s="1"/>
  <c r="F63" i="1"/>
  <c r="I63" i="1" s="1"/>
  <c r="F64" i="1"/>
  <c r="I64" i="1" s="1"/>
  <c r="F117" i="1"/>
  <c r="I117" i="1" s="1"/>
  <c r="F47" i="1"/>
  <c r="I47" i="1" s="1"/>
  <c r="F65" i="1"/>
  <c r="I65" i="1" s="1"/>
  <c r="F66" i="1"/>
  <c r="I66" i="1" s="1"/>
  <c r="F19" i="1"/>
  <c r="F67" i="1"/>
  <c r="F68" i="1"/>
  <c r="F125" i="1"/>
  <c r="F135" i="1"/>
  <c r="F69" i="1"/>
  <c r="F81" i="1"/>
  <c r="I81" i="1" s="1"/>
  <c r="F136" i="1"/>
  <c r="I136" i="1" s="1"/>
  <c r="F20" i="1"/>
  <c r="I20" i="1" s="1"/>
  <c r="F115" i="1"/>
  <c r="I115" i="1" s="1"/>
  <c r="F137" i="1"/>
  <c r="I137" i="1" s="1"/>
  <c r="F15" i="1"/>
  <c r="I15" i="1" s="1"/>
  <c r="F7" i="1"/>
  <c r="I7" i="1" s="1"/>
  <c r="F91" i="1"/>
  <c r="I91" i="1" s="1"/>
  <c r="F70" i="1"/>
  <c r="I70" i="1" s="1"/>
  <c r="F9" i="1"/>
  <c r="I9" i="1" s="1"/>
  <c r="F109" i="1"/>
  <c r="I109" i="1" s="1"/>
  <c r="F71" i="1"/>
  <c r="I71" i="1" s="1"/>
  <c r="F87" i="1"/>
  <c r="I87" i="1" s="1"/>
  <c r="F126" i="1"/>
  <c r="I126" i="1" s="1"/>
  <c r="F127" i="1"/>
  <c r="I127" i="1" s="1"/>
  <c r="F26" i="1"/>
  <c r="I26" i="1" s="1"/>
  <c r="F72" i="1"/>
  <c r="I72" i="1" s="1"/>
  <c r="F92" i="1"/>
  <c r="I92" i="1" s="1"/>
  <c r="F4" i="1"/>
  <c r="F93" i="1"/>
  <c r="F23" i="1"/>
  <c r="F110" i="1"/>
  <c r="F83" i="1"/>
  <c r="F40" i="1"/>
  <c r="F118" i="1"/>
  <c r="I118" i="1" s="1"/>
  <c r="F41" i="1"/>
  <c r="I41" i="1" s="1"/>
  <c r="F111" i="1"/>
  <c r="I111" i="1" s="1"/>
  <c r="F94" i="1"/>
  <c r="I94" i="1" s="1"/>
  <c r="F128" i="1"/>
  <c r="I128" i="1" s="1"/>
  <c r="F10" i="1"/>
  <c r="I10" i="1" s="1"/>
  <c r="F105" i="1"/>
  <c r="I105" i="1" s="1"/>
  <c r="F95" i="1"/>
  <c r="I95" i="1" s="1"/>
  <c r="F116" i="1"/>
  <c r="I116" i="1" s="1"/>
  <c r="F138" i="1"/>
  <c r="I138" i="1" s="1"/>
  <c r="F33" i="1"/>
  <c r="I33" i="1" s="1"/>
  <c r="F79" i="1"/>
  <c r="I79" i="1" s="1"/>
  <c r="F139" i="1"/>
  <c r="I139" i="1" s="1"/>
  <c r="F27" i="1"/>
  <c r="I27" i="1" s="1"/>
  <c r="F73" i="1"/>
  <c r="I73" i="1" s="1"/>
  <c r="F48" i="1"/>
  <c r="I48" i="1" s="1"/>
  <c r="F84" i="1"/>
  <c r="I84" i="1" s="1"/>
  <c r="F112" i="1"/>
  <c r="I112" i="1" s="1"/>
  <c r="F85" i="1"/>
  <c r="F113" i="1"/>
  <c r="F34" i="1"/>
  <c r="F120" i="1"/>
  <c r="F129" i="1"/>
  <c r="F130" i="1"/>
  <c r="F123" i="1"/>
  <c r="I123" i="1" s="1"/>
  <c r="F96" i="1"/>
  <c r="I96" i="1" s="1"/>
  <c r="F32" i="1"/>
  <c r="I32" i="1" s="1"/>
  <c r="F97" i="1"/>
  <c r="I97" i="1" s="1"/>
  <c r="F86" i="1"/>
  <c r="I86" i="1" s="1"/>
  <c r="F82" i="1"/>
  <c r="I82" i="1" s="1"/>
  <c r="F88" i="1"/>
  <c r="I88" i="1" s="1"/>
  <c r="F119" i="1"/>
  <c r="I119" i="1" s="1"/>
  <c r="F37" i="1"/>
  <c r="I37" i="1" s="1"/>
  <c r="F51" i="1"/>
  <c r="I51" i="1" s="1"/>
  <c r="F12" i="1"/>
  <c r="I12" i="1" s="1"/>
  <c r="F80" i="1"/>
  <c r="I80" i="1" s="1"/>
  <c r="F121" i="1"/>
  <c r="I121" i="1" s="1"/>
  <c r="F74" i="1"/>
  <c r="I74" i="1" s="1"/>
  <c r="F28" i="1"/>
  <c r="I28" i="1" s="1"/>
  <c r="F75" i="1"/>
  <c r="I75" i="1" s="1"/>
  <c r="F76" i="1"/>
  <c r="I76" i="1" s="1"/>
  <c r="F140" i="1"/>
  <c r="I140" i="1" s="1"/>
  <c r="F53" i="1"/>
  <c r="I53" i="1" s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O9" i="1" s="1"/>
  <c r="N8" i="1"/>
  <c r="N7" i="1"/>
  <c r="N6" i="1"/>
  <c r="O6" i="1" s="1"/>
  <c r="N5" i="1"/>
  <c r="O5" i="1" s="1"/>
  <c r="N4" i="1"/>
  <c r="O4" i="1" s="1"/>
  <c r="N3" i="1"/>
  <c r="O3" i="1" s="1"/>
  <c r="N2" i="1"/>
  <c r="O2" i="1" s="1"/>
  <c r="N1" i="1"/>
  <c r="O21" i="1" l="1"/>
  <c r="O10" i="1"/>
  <c r="O22" i="1"/>
  <c r="O11" i="1"/>
  <c r="O23" i="1"/>
  <c r="O12" i="1"/>
  <c r="O24" i="1"/>
  <c r="O13" i="1"/>
  <c r="O25" i="1"/>
  <c r="O14" i="1"/>
  <c r="O26" i="1"/>
  <c r="O15" i="1"/>
  <c r="O27" i="1"/>
  <c r="O16" i="1"/>
  <c r="O28" i="1"/>
  <c r="O17" i="1"/>
  <c r="O29" i="1"/>
  <c r="O18" i="1"/>
  <c r="O30" i="1"/>
  <c r="O7" i="1"/>
  <c r="O19" i="1"/>
  <c r="O8" i="1"/>
  <c r="O20" i="1"/>
</calcChain>
</file>

<file path=xl/sharedStrings.xml><?xml version="1.0" encoding="utf-8"?>
<sst xmlns="http://schemas.openxmlformats.org/spreadsheetml/2006/main" count="460" uniqueCount="276">
  <si>
    <t>회사명</t>
  </si>
  <si>
    <t>업종대</t>
  </si>
  <si>
    <t>업종소</t>
  </si>
  <si>
    <t>시가총액(억)</t>
  </si>
  <si>
    <t>유통주식 비중 (%)</t>
  </si>
  <si>
    <t>1일 등락률 (%)</t>
  </si>
  <si>
    <t>거래대금 (당일 억)</t>
  </si>
  <si>
    <t>SK하이닉스</t>
  </si>
  <si>
    <t>반도체 관련장비 및 부품</t>
  </si>
  <si>
    <t>종합 반도체</t>
  </si>
  <si>
    <t>한국전력</t>
  </si>
  <si>
    <t>유틸리티</t>
  </si>
  <si>
    <t>전력</t>
  </si>
  <si>
    <t>크래프톤</t>
  </si>
  <si>
    <t>미디어 및 엔터</t>
  </si>
  <si>
    <t>게임</t>
  </si>
  <si>
    <t>SK텔레콤</t>
  </si>
  <si>
    <t>통신</t>
  </si>
  <si>
    <t>통신서비스</t>
  </si>
  <si>
    <t>S-Oil</t>
  </si>
  <si>
    <t>석유 및 가스</t>
  </si>
  <si>
    <t>정유</t>
  </si>
  <si>
    <t>대한항공</t>
  </si>
  <si>
    <t>운송 및 물류</t>
  </si>
  <si>
    <t>항공운송</t>
  </si>
  <si>
    <t>코웨이</t>
  </si>
  <si>
    <t>가정용품</t>
  </si>
  <si>
    <t>가전제품</t>
  </si>
  <si>
    <t>삼성카드</t>
  </si>
  <si>
    <t>금융</t>
  </si>
  <si>
    <t>기타 금융</t>
  </si>
  <si>
    <t>NH투자증권</t>
  </si>
  <si>
    <t>증권</t>
  </si>
  <si>
    <t>한진칼</t>
  </si>
  <si>
    <t>지주사</t>
  </si>
  <si>
    <t>리노공업</t>
  </si>
  <si>
    <t>반도체장비</t>
  </si>
  <si>
    <t>키움증권</t>
  </si>
  <si>
    <t>롯데쇼핑</t>
  </si>
  <si>
    <t>유통</t>
  </si>
  <si>
    <t>백화점</t>
  </si>
  <si>
    <t>동서</t>
  </si>
  <si>
    <t>휠라홀딩스</t>
  </si>
  <si>
    <t>섬유 및 의류</t>
  </si>
  <si>
    <t>의류</t>
  </si>
  <si>
    <t>알테오젠</t>
  </si>
  <si>
    <t>제약 및 바이오</t>
  </si>
  <si>
    <t>바이오</t>
  </si>
  <si>
    <t>삼천리</t>
  </si>
  <si>
    <t>도시가스</t>
  </si>
  <si>
    <t>한미반도체</t>
  </si>
  <si>
    <t>HPSP</t>
  </si>
  <si>
    <t>엔켐</t>
  </si>
  <si>
    <t>IT 장비 및 소재</t>
  </si>
  <si>
    <t>2차전지</t>
  </si>
  <si>
    <t>코리안리</t>
  </si>
  <si>
    <t>재보험</t>
  </si>
  <si>
    <t>아시아나항공</t>
  </si>
  <si>
    <t>다우기술</t>
  </si>
  <si>
    <t>IT서비스</t>
  </si>
  <si>
    <t>시스템서비스</t>
  </si>
  <si>
    <t>동양생명</t>
  </si>
  <si>
    <t>생명보험</t>
  </si>
  <si>
    <t>선광</t>
  </si>
  <si>
    <t>운송인프라</t>
  </si>
  <si>
    <t>파크시스템스</t>
  </si>
  <si>
    <t>의료기기 및 용품</t>
  </si>
  <si>
    <t>의료기기</t>
  </si>
  <si>
    <t>율촌화학</t>
  </si>
  <si>
    <t>종이 및 용기</t>
  </si>
  <si>
    <t>용기 및 포장재</t>
  </si>
  <si>
    <t>NICE평가정보</t>
  </si>
  <si>
    <t>전자결제</t>
  </si>
  <si>
    <t>KCC글라스</t>
  </si>
  <si>
    <t>건설 및 건축자재</t>
  </si>
  <si>
    <t>창호</t>
  </si>
  <si>
    <t>서진시스템</t>
  </si>
  <si>
    <t>통신장비</t>
  </si>
  <si>
    <t>한화투자증권</t>
  </si>
  <si>
    <t>레인보우로보틱스</t>
  </si>
  <si>
    <t>기계</t>
  </si>
  <si>
    <t>피에스케이</t>
  </si>
  <si>
    <t>한화손해보험</t>
  </si>
  <si>
    <t>손해보험</t>
  </si>
  <si>
    <t>롯데손해보험</t>
  </si>
  <si>
    <t>티에스이</t>
  </si>
  <si>
    <t>세아제강</t>
  </si>
  <si>
    <t>철강 및 비철강</t>
  </si>
  <si>
    <t>제강</t>
  </si>
  <si>
    <t>원익머트리얼즈</t>
  </si>
  <si>
    <t>반도체 부품</t>
  </si>
  <si>
    <t>교보증권</t>
  </si>
  <si>
    <t>우리기술투자</t>
  </si>
  <si>
    <t>신도리코</t>
  </si>
  <si>
    <t>전기 및 전자기기</t>
  </si>
  <si>
    <t>전자기기</t>
  </si>
  <si>
    <t>케이씨텍</t>
  </si>
  <si>
    <t>HDC</t>
  </si>
  <si>
    <t>코리아써키트</t>
  </si>
  <si>
    <t>PCB</t>
  </si>
  <si>
    <t>탑머티리얼</t>
  </si>
  <si>
    <t>IT 소재 및 부품</t>
  </si>
  <si>
    <t>레이크머티리얼즈</t>
  </si>
  <si>
    <t>화학</t>
  </si>
  <si>
    <t>종합 화학</t>
  </si>
  <si>
    <t>한국기업평가</t>
  </si>
  <si>
    <t>일반서비스</t>
  </si>
  <si>
    <t>신용정보</t>
  </si>
  <si>
    <t>현대차증권</t>
  </si>
  <si>
    <t>모두투어</t>
  </si>
  <si>
    <t>레저산업</t>
  </si>
  <si>
    <t>여행</t>
  </si>
  <si>
    <t>네오위즈홀딩스</t>
  </si>
  <si>
    <t>아세아</t>
  </si>
  <si>
    <t>현대퓨처넷</t>
  </si>
  <si>
    <t>미디어</t>
  </si>
  <si>
    <t>삼익THK</t>
  </si>
  <si>
    <t>자동화기기</t>
  </si>
  <si>
    <t>CG인바이츠</t>
  </si>
  <si>
    <t>LS에코에너지</t>
  </si>
  <si>
    <t>케이블</t>
  </si>
  <si>
    <t>KPX케미칼</t>
  </si>
  <si>
    <t>기타 화학</t>
  </si>
  <si>
    <t>테크윙</t>
  </si>
  <si>
    <t>아모텍</t>
  </si>
  <si>
    <t>스마트폰 부품</t>
  </si>
  <si>
    <t>금강공업</t>
  </si>
  <si>
    <t>거푸집</t>
  </si>
  <si>
    <t>유니슨</t>
  </si>
  <si>
    <t>에너지</t>
  </si>
  <si>
    <t>풍력</t>
  </si>
  <si>
    <t>에스티아이</t>
  </si>
  <si>
    <t>GST</t>
  </si>
  <si>
    <t>가온칩스</t>
  </si>
  <si>
    <t>에브리봇</t>
  </si>
  <si>
    <t>풍국주정</t>
  </si>
  <si>
    <t>식음료</t>
  </si>
  <si>
    <t>음료</t>
  </si>
  <si>
    <t>비씨엔씨</t>
  </si>
  <si>
    <t>반도체 제조</t>
  </si>
  <si>
    <t>에이디테크놀로지</t>
  </si>
  <si>
    <t>반도체 설계</t>
  </si>
  <si>
    <t>서연</t>
  </si>
  <si>
    <t>인텍플러스</t>
  </si>
  <si>
    <t>오픈엣지테크놀로지</t>
  </si>
  <si>
    <t>아시아나IDT</t>
  </si>
  <si>
    <t>한솔테크닉스</t>
  </si>
  <si>
    <t>텔레칩스</t>
  </si>
  <si>
    <t>용평리조트</t>
  </si>
  <si>
    <t>세경하이테크</t>
  </si>
  <si>
    <t>피에스케이홀딩스</t>
  </si>
  <si>
    <t>노루페인트</t>
  </si>
  <si>
    <t>페인트</t>
  </si>
  <si>
    <t>우주일렉트로</t>
  </si>
  <si>
    <t>디씨엠</t>
  </si>
  <si>
    <t>강판</t>
  </si>
  <si>
    <t>다산네트웍스</t>
  </si>
  <si>
    <t>디와이파워</t>
  </si>
  <si>
    <t>중장비 및 관련품</t>
  </si>
  <si>
    <t>칩스앤미디어</t>
  </si>
  <si>
    <t>유비쿼스</t>
  </si>
  <si>
    <t>에이티넘인베스트</t>
  </si>
  <si>
    <t>매커스</t>
  </si>
  <si>
    <t>반도체 유통</t>
  </si>
  <si>
    <t>강남제비스코</t>
  </si>
  <si>
    <t>엑셈</t>
  </si>
  <si>
    <t>소프트웨어</t>
  </si>
  <si>
    <t>MDS테크</t>
  </si>
  <si>
    <t>제노포커스</t>
  </si>
  <si>
    <t>타이거일렉</t>
  </si>
  <si>
    <t>태경케미컬</t>
  </si>
  <si>
    <t>대정화금</t>
  </si>
  <si>
    <t>알에스오토메이션</t>
  </si>
  <si>
    <t>산업용 로봇</t>
  </si>
  <si>
    <t>인화정공</t>
  </si>
  <si>
    <t>조선</t>
  </si>
  <si>
    <t>조선기자재</t>
  </si>
  <si>
    <t>에이플러스에셋</t>
  </si>
  <si>
    <t>디아이티</t>
  </si>
  <si>
    <t>디스플레이 장비 및 부품</t>
  </si>
  <si>
    <t>디스플레이 장비</t>
  </si>
  <si>
    <t>베뉴지</t>
  </si>
  <si>
    <t>가온그룹</t>
  </si>
  <si>
    <t>셋톱박스</t>
  </si>
  <si>
    <t>오로라</t>
  </si>
  <si>
    <t>유아동산업</t>
  </si>
  <si>
    <t>상상인증권</t>
  </si>
  <si>
    <t>혜인</t>
  </si>
  <si>
    <t>오상자이엘</t>
  </si>
  <si>
    <t>파이오링크</t>
  </si>
  <si>
    <t>이건홀딩스</t>
  </si>
  <si>
    <t>서암기계공업</t>
  </si>
  <si>
    <t>공작기계</t>
  </si>
  <si>
    <t>한국종합기술</t>
  </si>
  <si>
    <t>중견건설사</t>
  </si>
  <si>
    <t>세코닉스</t>
  </si>
  <si>
    <t>카메라모듈</t>
  </si>
  <si>
    <t>코리아에프티</t>
  </si>
  <si>
    <t>자동차 및 관련부품</t>
  </si>
  <si>
    <t>기타 자동차부품</t>
  </si>
  <si>
    <t>베노티앤알</t>
  </si>
  <si>
    <t>이랜시스</t>
  </si>
  <si>
    <t>전자부품</t>
  </si>
  <si>
    <t>제넨바이오</t>
  </si>
  <si>
    <t>제이티</t>
  </si>
  <si>
    <t>정다운</t>
  </si>
  <si>
    <t>식료품</t>
  </si>
  <si>
    <t>위지트</t>
  </si>
  <si>
    <t>디스플레이 부품</t>
  </si>
  <si>
    <t>인카금융서비스</t>
  </si>
  <si>
    <t>한국컴퓨터</t>
  </si>
  <si>
    <t>TS인베스트먼트</t>
  </si>
  <si>
    <t>서진오토모티브</t>
  </si>
  <si>
    <t>변속기부품</t>
  </si>
  <si>
    <t>티에이치엔</t>
  </si>
  <si>
    <t>케이씨에스</t>
  </si>
  <si>
    <t>네오리진</t>
  </si>
  <si>
    <t>보안서비스</t>
  </si>
  <si>
    <t>해성티피씨</t>
  </si>
  <si>
    <t>아세아텍</t>
  </si>
  <si>
    <t>농업용기계</t>
  </si>
  <si>
    <t>우리엔터프라이즈</t>
  </si>
  <si>
    <t>LED</t>
  </si>
  <si>
    <t>화성밸브</t>
  </si>
  <si>
    <t>피팅 및 밸브</t>
  </si>
  <si>
    <t>제이엠티</t>
  </si>
  <si>
    <t>세중</t>
  </si>
  <si>
    <t>참엔지니어링</t>
  </si>
  <si>
    <t>엔바이오니아</t>
  </si>
  <si>
    <t>오스테오닉</t>
  </si>
  <si>
    <t>리노스</t>
  </si>
  <si>
    <t>아이즈비전</t>
  </si>
  <si>
    <t>아이톡시</t>
  </si>
  <si>
    <t>듀오백</t>
  </si>
  <si>
    <t>가구</t>
  </si>
  <si>
    <t>자람테크놀로지</t>
  </si>
  <si>
    <t>에스바이오메딕스</t>
  </si>
  <si>
    <t>퀄리타스반도체</t>
  </si>
  <si>
    <t>에이직랜드</t>
  </si>
  <si>
    <t>에코프로머티</t>
  </si>
  <si>
    <t>조정 (유통)시가총액</t>
    <phoneticPr fontId="18" type="noConversion"/>
  </si>
  <si>
    <t>거래대금 비율 TOP</t>
    <phoneticPr fontId="18" type="noConversion"/>
  </si>
  <si>
    <t>각 섹터합(억원)</t>
    <phoneticPr fontId="18" type="noConversion"/>
  </si>
  <si>
    <t>섹터비율</t>
    <phoneticPr fontId="18" type="noConversion"/>
  </si>
  <si>
    <t>검출 거래대금 합</t>
    <phoneticPr fontId="18" type="noConversion"/>
  </si>
  <si>
    <t>퀀트 검출 섹터 및 추이</t>
    <phoneticPr fontId="18" type="noConversion"/>
  </si>
  <si>
    <t>(개수)비중</t>
    <phoneticPr fontId="18" type="noConversion"/>
  </si>
  <si>
    <t>화학</t>
    <phoneticPr fontId="18" type="noConversion"/>
  </si>
  <si>
    <t>통신</t>
    <phoneticPr fontId="18" type="noConversion"/>
  </si>
  <si>
    <t>철강 및 비철강</t>
    <phoneticPr fontId="18" type="noConversion"/>
  </si>
  <si>
    <t>지주사</t>
    <phoneticPr fontId="18" type="noConversion"/>
  </si>
  <si>
    <t>종이 및 용기</t>
    <phoneticPr fontId="18" type="noConversion"/>
  </si>
  <si>
    <t>조선</t>
    <phoneticPr fontId="18" type="noConversion"/>
  </si>
  <si>
    <t>제약 및 바이오</t>
    <phoneticPr fontId="18" type="noConversion"/>
  </si>
  <si>
    <t>전기 및 전자기기</t>
    <phoneticPr fontId="18" type="noConversion"/>
  </si>
  <si>
    <t>자동차 및 관련부품</t>
    <phoneticPr fontId="18" type="noConversion"/>
  </si>
  <si>
    <t>일반서비스</t>
    <phoneticPr fontId="18" type="noConversion"/>
  </si>
  <si>
    <t>의료기기 및 용품</t>
    <phoneticPr fontId="18" type="noConversion"/>
  </si>
  <si>
    <t>유틸리티</t>
    <phoneticPr fontId="18" type="noConversion"/>
  </si>
  <si>
    <t>유통</t>
    <phoneticPr fontId="18" type="noConversion"/>
  </si>
  <si>
    <t>유아동산업</t>
    <phoneticPr fontId="18" type="noConversion"/>
  </si>
  <si>
    <t>운송 및 물류</t>
    <phoneticPr fontId="18" type="noConversion"/>
  </si>
  <si>
    <t>에너지</t>
    <phoneticPr fontId="18" type="noConversion"/>
  </si>
  <si>
    <t>식음료</t>
    <phoneticPr fontId="18" type="noConversion"/>
  </si>
  <si>
    <t>섬유 및 의류</t>
    <phoneticPr fontId="18" type="noConversion"/>
  </si>
  <si>
    <t>석유 및 가스</t>
    <phoneticPr fontId="18" type="noConversion"/>
  </si>
  <si>
    <t>반도체 관련장비 및 부품</t>
    <phoneticPr fontId="18" type="noConversion"/>
  </si>
  <si>
    <t>미디어 및 엔터</t>
    <phoneticPr fontId="18" type="noConversion"/>
  </si>
  <si>
    <t>레저산업</t>
    <phoneticPr fontId="18" type="noConversion"/>
  </si>
  <si>
    <t>디스플레이 장비 및 부품</t>
    <phoneticPr fontId="18" type="noConversion"/>
  </si>
  <si>
    <t>기계</t>
    <phoneticPr fontId="18" type="noConversion"/>
  </si>
  <si>
    <t>금융</t>
    <phoneticPr fontId="18" type="noConversion"/>
  </si>
  <si>
    <t>가정용품</t>
    <phoneticPr fontId="18" type="noConversion"/>
  </si>
  <si>
    <t>건설 및 건축자재</t>
    <phoneticPr fontId="18" type="noConversion"/>
  </si>
  <si>
    <t>IT서비스</t>
    <phoneticPr fontId="18" type="noConversion"/>
  </si>
  <si>
    <t>IT 장비 및 소재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</si>
</sst>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0.0%"/>
  </numFmts>
  <fonts count="2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57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4"/>
      <color rgb="FFFF0000"/>
      <name val="맑은 고딕"/>
      <family val="3"/>
      <charset val="129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176" fontId="0" fillId="33" borderId="0" xfId="0" applyNumberFormat="1" applyFill="1">
      <alignment vertical="center"/>
    </xf>
    <xf numFmtId="0" fontId="0" fillId="33" borderId="0" xfId="0" applyFill="1">
      <alignment vertical="center"/>
    </xf>
    <xf numFmtId="177" fontId="0" fillId="33" borderId="0" xfId="1" applyNumberFormat="1" applyFont="1" applyFill="1">
      <alignment vertical="center"/>
    </xf>
    <xf numFmtId="0" fontId="19" fillId="33" borderId="0" xfId="0" applyFont="1" applyFill="1" applyAlignment="1">
      <alignment horizontal="center" vertical="center"/>
    </xf>
    <xf numFmtId="0" fontId="19" fillId="33" borderId="0" xfId="0" applyFont="1" applyFill="1">
      <alignment vertical="center"/>
    </xf>
    <xf numFmtId="0" fontId="20" fillId="33" borderId="0" xfId="0" applyFont="1" applyFill="1" applyAlignment="1">
      <alignment horizontal="center" vertical="center"/>
    </xf>
    <xf numFmtId="0" fontId="19" fillId="0" borderId="0" xfId="0" applyFont="1">
      <alignment vertical="center"/>
    </xf>
    <xf numFmtId="177" fontId="20" fillId="0" borderId="0" xfId="1" applyNumberFormat="1" applyFont="1">
      <alignment vertical="center"/>
    </xf>
    <xf numFmtId="176" fontId="0" fillId="0" borderId="0" xfId="0" applyNumberFormat="1">
      <alignment vertical="center"/>
    </xf>
    <xf numFmtId="177" fontId="0" fillId="0" borderId="0" xfId="1" applyNumberFormat="1" applyFont="1">
      <alignment vertical="center"/>
    </xf>
  </cellXfs>
  <cellStyles count="43">
    <cellStyle name="20% - 강조색1" xfId="20" builtinId="30" customBuiltin="1"/>
    <cellStyle name="20% - 강조색2" xfId="24" builtinId="34" customBuiltin="1"/>
    <cellStyle name="20% - 강조색3" xfId="28" builtinId="38" customBuiltin="1"/>
    <cellStyle name="20% - 강조색4" xfId="32" builtinId="42" customBuiltin="1"/>
    <cellStyle name="20% - 강조색5" xfId="36" builtinId="46" customBuiltin="1"/>
    <cellStyle name="20% - 강조색6" xfId="40" builtinId="50" customBuiltin="1"/>
    <cellStyle name="40% - 강조색1" xfId="21" builtinId="31" customBuiltin="1"/>
    <cellStyle name="40% - 강조색2" xfId="25" builtinId="35" customBuiltin="1"/>
    <cellStyle name="40% - 강조색3" xfId="29" builtinId="39" customBuiltin="1"/>
    <cellStyle name="40% - 강조색4" xfId="33" builtinId="43" customBuiltin="1"/>
    <cellStyle name="40% - 강조색5" xfId="37" builtinId="47" customBuiltin="1"/>
    <cellStyle name="40% - 강조색6" xfId="41" builtinId="51" customBuiltin="1"/>
    <cellStyle name="60% - 강조색1" xfId="22" builtinId="32" customBuiltin="1"/>
    <cellStyle name="60% - 강조색2" xfId="26" builtinId="36" customBuiltin="1"/>
    <cellStyle name="60% - 강조색3" xfId="30" builtinId="40" customBuiltin="1"/>
    <cellStyle name="60% - 강조색4" xfId="34" builtinId="44" customBuiltin="1"/>
    <cellStyle name="60% - 강조색5" xfId="38" builtinId="48" customBuiltin="1"/>
    <cellStyle name="60% - 강조색6" xfId="42" builtinId="52" customBuiltin="1"/>
    <cellStyle name="강조색1" xfId="19" builtinId="29" customBuiltin="1"/>
    <cellStyle name="강조색2" xfId="23" builtinId="33" customBuiltin="1"/>
    <cellStyle name="강조색3" xfId="27" builtinId="37" customBuiltin="1"/>
    <cellStyle name="강조색4" xfId="31" builtinId="41" customBuiltin="1"/>
    <cellStyle name="강조색5" xfId="35" builtinId="45" customBuiltin="1"/>
    <cellStyle name="강조색6" xfId="39" builtinId="49" customBuiltin="1"/>
    <cellStyle name="경고문" xfId="15" builtinId="11" customBuiltin="1"/>
    <cellStyle name="계산" xfId="12" builtinId="22" customBuiltin="1"/>
    <cellStyle name="나쁨" xfId="8" builtinId="27" customBuiltin="1"/>
    <cellStyle name="메모" xfId="16" builtinId="10" customBuiltin="1"/>
    <cellStyle name="백분율" xfId="1" builtinId="5"/>
    <cellStyle name="보통" xfId="9" builtinId="28" customBuiltin="1"/>
    <cellStyle name="설명 텍스트" xfId="17" builtinId="53" customBuiltin="1"/>
    <cellStyle name="셀 확인" xfId="14" builtinId="23" customBuiltin="1"/>
    <cellStyle name="연결된 셀" xfId="13" builtinId="24" customBuiltin="1"/>
    <cellStyle name="요약" xfId="18" builtinId="25" customBuiltin="1"/>
    <cellStyle name="입력" xfId="10" builtinId="20" customBuiltin="1"/>
    <cellStyle name="제목" xfId="2" builtinId="15" customBuiltin="1"/>
    <cellStyle name="제목 1" xfId="3" builtinId="16" customBuiltin="1"/>
    <cellStyle name="제목 2" xfId="4" builtinId="17" customBuiltin="1"/>
    <cellStyle name="제목 3" xfId="5" builtinId="18" customBuiltin="1"/>
    <cellStyle name="제목 4" xfId="6" builtinId="19" customBuiltin="1"/>
    <cellStyle name="좋음" xfId="7" builtinId="26" customBuiltin="1"/>
    <cellStyle name="출력" xfId="11" builtinId="21" customBuiltin="1"/>
    <cellStyle name="표준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140"/>
  <sheetViews>
    <sheetView tabSelected="1" zoomScale="90" zoomScaleNormal="90" workbookViewId="0">
      <pane ySplit="1" topLeftCell="A2" activePane="bottomLeft" state="frozen"/>
      <selection pane="bottomLeft" activeCell="L3" sqref="L3"/>
    </sheetView>
  </sheetViews>
  <sheetFormatPr defaultRowHeight="16.5" x14ac:dyDescent="0.3"/>
  <cols>
    <col min="1" max="1" width="19.25" bestFit="1" customWidth="1"/>
    <col min="2" max="2" width="23.5" bestFit="1" customWidth="1"/>
    <col min="3" max="3" width="16.5" bestFit="1" customWidth="1"/>
    <col min="4" max="4" width="12.375" style="9" bestFit="1" customWidth="1"/>
    <col min="5" max="5" width="17.625" bestFit="1" customWidth="1"/>
    <col min="6" max="6" width="19.25" style="9" bestFit="1" customWidth="1"/>
    <col min="7" max="7" width="14.625" bestFit="1" customWidth="1"/>
    <col min="8" max="8" width="17.875" style="9" bestFit="1" customWidth="1"/>
    <col min="9" max="9" width="18.5" bestFit="1" customWidth="1"/>
    <col min="10" max="10" width="15.125" style="9" bestFit="1" customWidth="1"/>
    <col min="11" max="11" width="9" style="10"/>
    <col min="12" max="12" width="16.5" style="9" bestFit="1" customWidth="1"/>
    <col min="13" max="13" width="30.125" bestFit="1" customWidth="1"/>
    <col min="14" max="14" width="5.875" bestFit="1" customWidth="1"/>
    <col min="15" max="15" width="13.25" bestFit="1" customWidth="1"/>
  </cols>
  <sheetData>
    <row r="1" spans="1:15" ht="20.25" x14ac:dyDescent="0.3">
      <c r="A1" s="2" t="s">
        <v>0</v>
      </c>
      <c r="B1" s="2" t="s">
        <v>1</v>
      </c>
      <c r="C1" s="2" t="s">
        <v>2</v>
      </c>
      <c r="D1" s="1" t="s">
        <v>3</v>
      </c>
      <c r="E1" s="2" t="s">
        <v>4</v>
      </c>
      <c r="F1" s="1" t="s">
        <v>240</v>
      </c>
      <c r="G1" s="2" t="s">
        <v>5</v>
      </c>
      <c r="H1" s="1" t="s">
        <v>6</v>
      </c>
      <c r="I1" s="3" t="s">
        <v>241</v>
      </c>
      <c r="J1" s="1" t="s">
        <v>242</v>
      </c>
      <c r="K1" s="3" t="s">
        <v>243</v>
      </c>
      <c r="L1" s="1" t="s">
        <v>244</v>
      </c>
      <c r="M1" s="4" t="s">
        <v>245</v>
      </c>
      <c r="N1" s="5">
        <f>COUNTA(A:A)-1</f>
        <v>139</v>
      </c>
      <c r="O1" s="6" t="s">
        <v>246</v>
      </c>
    </row>
    <row r="2" spans="1:15" ht="20.25" x14ac:dyDescent="0.3">
      <c r="A2" t="s">
        <v>102</v>
      </c>
      <c r="B2" t="s">
        <v>103</v>
      </c>
      <c r="C2" t="s">
        <v>104</v>
      </c>
      <c r="D2" s="9">
        <v>11805</v>
      </c>
      <c r="E2">
        <v>56.2</v>
      </c>
      <c r="F2" s="9">
        <f>D2*E2%</f>
        <v>6634.4100000000008</v>
      </c>
      <c r="G2">
        <v>12.6</v>
      </c>
      <c r="H2" s="9">
        <v>404.99</v>
      </c>
      <c r="I2" s="10">
        <f>H2/F2</f>
        <v>6.104386072009417E-2</v>
      </c>
      <c r="L2" s="9">
        <v>84790</v>
      </c>
      <c r="M2" s="7" t="s">
        <v>247</v>
      </c>
      <c r="N2" s="7">
        <f>COUNTIF(B:B, "화학")</f>
        <v>4</v>
      </c>
      <c r="O2" s="8">
        <f>N2/$N$1</f>
        <v>2.8776978417266189E-2</v>
      </c>
    </row>
    <row r="3" spans="1:15" ht="20.25" x14ac:dyDescent="0.3">
      <c r="A3" t="s">
        <v>121</v>
      </c>
      <c r="B3" t="s">
        <v>103</v>
      </c>
      <c r="C3" t="s">
        <v>122</v>
      </c>
      <c r="D3" s="9">
        <v>2219</v>
      </c>
      <c r="E3">
        <v>33.9</v>
      </c>
      <c r="F3" s="9">
        <f>D3*E3%</f>
        <v>752.24099999999999</v>
      </c>
      <c r="G3">
        <v>1.21</v>
      </c>
      <c r="H3" s="9">
        <v>8.33</v>
      </c>
      <c r="I3" s="10">
        <f>H3/F3</f>
        <v>1.1073578813172906E-2</v>
      </c>
      <c r="M3" s="7" t="s">
        <v>248</v>
      </c>
      <c r="N3" s="7">
        <f>COUNTIF(B:B, "통신")</f>
        <v>6</v>
      </c>
      <c r="O3" s="8">
        <f t="shared" ref="O3:O30" si="0">N3/$N$1</f>
        <v>4.3165467625899283E-2</v>
      </c>
    </row>
    <row r="4" spans="1:15" ht="20.25" x14ac:dyDescent="0.3">
      <c r="A4" t="s">
        <v>171</v>
      </c>
      <c r="B4" t="s">
        <v>103</v>
      </c>
      <c r="C4" t="s">
        <v>122</v>
      </c>
      <c r="D4" s="9">
        <v>1258</v>
      </c>
      <c r="E4">
        <v>48.3</v>
      </c>
      <c r="F4" s="9">
        <f>D4*E4%</f>
        <v>607.61400000000003</v>
      </c>
      <c r="G4">
        <v>1.69</v>
      </c>
      <c r="H4" s="9">
        <v>13.81</v>
      </c>
      <c r="I4" s="10">
        <f>H4/F4</f>
        <v>2.2728245234639097E-2</v>
      </c>
      <c r="M4" s="7" t="s">
        <v>249</v>
      </c>
      <c r="N4" s="7">
        <f>COUNTIF(B:B, "철강 및 비철강")</f>
        <v>2</v>
      </c>
      <c r="O4" s="8">
        <f t="shared" si="0"/>
        <v>1.4388489208633094E-2</v>
      </c>
    </row>
    <row r="5" spans="1:15" ht="20.25" x14ac:dyDescent="0.3">
      <c r="A5" t="s">
        <v>16</v>
      </c>
      <c r="B5" t="s">
        <v>17</v>
      </c>
      <c r="C5" t="s">
        <v>18</v>
      </c>
      <c r="D5" s="9">
        <v>113574</v>
      </c>
      <c r="E5">
        <v>67.2</v>
      </c>
      <c r="F5" s="9">
        <f>D5*E5%</f>
        <v>76321.728000000003</v>
      </c>
      <c r="G5">
        <v>2.17</v>
      </c>
      <c r="H5" s="9">
        <v>533.25</v>
      </c>
      <c r="I5" s="10">
        <f>H5/F5</f>
        <v>6.9868701086013146E-3</v>
      </c>
      <c r="M5" s="7" t="s">
        <v>250</v>
      </c>
      <c r="N5" s="7">
        <f>COUNTIF(B:B, "지주사")</f>
        <v>8</v>
      </c>
      <c r="O5" s="8">
        <f t="shared" si="0"/>
        <v>5.7553956834532377E-2</v>
      </c>
    </row>
    <row r="6" spans="1:15" ht="20.25" x14ac:dyDescent="0.3">
      <c r="A6" t="s">
        <v>76</v>
      </c>
      <c r="B6" t="s">
        <v>17</v>
      </c>
      <c r="C6" t="s">
        <v>77</v>
      </c>
      <c r="D6" s="9">
        <v>8061</v>
      </c>
      <c r="E6">
        <v>67.400000000000006</v>
      </c>
      <c r="F6" s="9">
        <f>D6*E6%</f>
        <v>5433.1140000000005</v>
      </c>
      <c r="G6">
        <v>11.78</v>
      </c>
      <c r="H6" s="9">
        <v>597.48</v>
      </c>
      <c r="I6" s="10">
        <f>H6/F6</f>
        <v>0.10997008345490265</v>
      </c>
      <c r="M6" s="7" t="s">
        <v>251</v>
      </c>
      <c r="N6" s="7">
        <f>COUNTIF(B:B, "종이 및 용기")</f>
        <v>1</v>
      </c>
      <c r="O6" s="8">
        <f t="shared" si="0"/>
        <v>7.1942446043165471E-3</v>
      </c>
    </row>
    <row r="7" spans="1:15" ht="20.25" x14ac:dyDescent="0.3">
      <c r="A7" t="s">
        <v>156</v>
      </c>
      <c r="B7" t="s">
        <v>17</v>
      </c>
      <c r="C7" t="s">
        <v>77</v>
      </c>
      <c r="D7" s="9">
        <v>1798</v>
      </c>
      <c r="E7">
        <v>70.099999999999994</v>
      </c>
      <c r="F7" s="9">
        <f>D7*E7%</f>
        <v>1260.3979999999999</v>
      </c>
      <c r="G7">
        <v>11.52</v>
      </c>
      <c r="H7" s="9">
        <v>335.51</v>
      </c>
      <c r="I7" s="10">
        <f>H7/F7</f>
        <v>0.26619369437272988</v>
      </c>
      <c r="M7" s="7" t="s">
        <v>252</v>
      </c>
      <c r="N7" s="7">
        <f>COUNTIF(B:B, "조선")</f>
        <v>1</v>
      </c>
      <c r="O7" s="8">
        <f t="shared" si="0"/>
        <v>7.1942446043165471E-3</v>
      </c>
    </row>
    <row r="8" spans="1:15" ht="20.25" hidden="1" x14ac:dyDescent="0.3">
      <c r="A8" t="s">
        <v>25</v>
      </c>
      <c r="B8" t="s">
        <v>26</v>
      </c>
      <c r="C8" t="s">
        <v>27</v>
      </c>
      <c r="D8" s="9">
        <v>44058</v>
      </c>
      <c r="E8">
        <v>73.2</v>
      </c>
      <c r="F8" s="9">
        <f>D8*E8%</f>
        <v>32250.455999999998</v>
      </c>
      <c r="G8">
        <v>-3.71</v>
      </c>
      <c r="H8" s="9">
        <v>207.7</v>
      </c>
      <c r="I8" s="10">
        <f>H8/F8</f>
        <v>6.4402190158179473E-3</v>
      </c>
      <c r="K8"/>
      <c r="M8" s="7" t="s">
        <v>253</v>
      </c>
      <c r="N8" s="7">
        <f>COUNTIF(B:B, "제약 및 바이오")</f>
        <v>5</v>
      </c>
      <c r="O8" s="8">
        <f t="shared" si="0"/>
        <v>3.5971223021582732E-2</v>
      </c>
    </row>
    <row r="9" spans="1:15" ht="20.25" x14ac:dyDescent="0.3">
      <c r="A9" t="s">
        <v>160</v>
      </c>
      <c r="B9" t="s">
        <v>17</v>
      </c>
      <c r="C9" t="s">
        <v>77</v>
      </c>
      <c r="D9" s="9">
        <v>1665</v>
      </c>
      <c r="E9">
        <v>58.7</v>
      </c>
      <c r="F9" s="9">
        <f>D9*E9%</f>
        <v>977.35500000000013</v>
      </c>
      <c r="G9">
        <v>3.11</v>
      </c>
      <c r="H9" s="9">
        <v>6.58</v>
      </c>
      <c r="I9" s="10">
        <f>H9/F9</f>
        <v>6.7324564769198495E-3</v>
      </c>
      <c r="M9" s="7" t="s">
        <v>254</v>
      </c>
      <c r="N9" s="7">
        <f>COUNTIF(B:B, "전기 및 전자기기")</f>
        <v>3</v>
      </c>
      <c r="O9" s="8">
        <f t="shared" si="0"/>
        <v>2.1582733812949641E-2</v>
      </c>
    </row>
    <row r="10" spans="1:15" ht="20.25" x14ac:dyDescent="0.3">
      <c r="A10" t="s">
        <v>189</v>
      </c>
      <c r="B10" t="s">
        <v>17</v>
      </c>
      <c r="C10" t="s">
        <v>77</v>
      </c>
      <c r="D10" s="9">
        <v>854</v>
      </c>
      <c r="E10">
        <v>58.1</v>
      </c>
      <c r="F10" s="9">
        <f>D10*E10%</f>
        <v>496.17399999999998</v>
      </c>
      <c r="G10">
        <v>12.26</v>
      </c>
      <c r="H10" s="9">
        <v>38.15</v>
      </c>
      <c r="I10" s="10">
        <f>H10/F10</f>
        <v>7.688834965153353E-2</v>
      </c>
      <c r="M10" s="7" t="s">
        <v>255</v>
      </c>
      <c r="N10" s="7">
        <f>COUNTIF(B:B, "자동차 및 관련부품")</f>
        <v>3</v>
      </c>
      <c r="O10" s="8">
        <f t="shared" si="0"/>
        <v>2.1582733812949641E-2</v>
      </c>
    </row>
    <row r="11" spans="1:15" ht="20.25" hidden="1" x14ac:dyDescent="0.3">
      <c r="A11" t="s">
        <v>33</v>
      </c>
      <c r="B11" t="s">
        <v>34</v>
      </c>
      <c r="C11" t="s">
        <v>34</v>
      </c>
      <c r="D11" s="9">
        <v>50472</v>
      </c>
      <c r="E11">
        <v>70</v>
      </c>
      <c r="F11" s="9">
        <f>D11*E11%</f>
        <v>35330.399999999994</v>
      </c>
      <c r="G11">
        <v>-1.18</v>
      </c>
      <c r="H11" s="9">
        <v>423.55</v>
      </c>
      <c r="I11" s="10">
        <f>H11/F11</f>
        <v>1.1988259402667394E-2</v>
      </c>
      <c r="K11"/>
      <c r="M11" s="7" t="s">
        <v>256</v>
      </c>
      <c r="N11" s="7">
        <f>COUNTIF(B:B, "일반서비스")</f>
        <v>1</v>
      </c>
      <c r="O11" s="8">
        <f t="shared" si="0"/>
        <v>7.1942446043165471E-3</v>
      </c>
    </row>
    <row r="12" spans="1:15" ht="20.25" x14ac:dyDescent="0.3">
      <c r="A12" t="s">
        <v>231</v>
      </c>
      <c r="B12" t="s">
        <v>17</v>
      </c>
      <c r="C12" t="s">
        <v>77</v>
      </c>
      <c r="D12" s="9">
        <v>756</v>
      </c>
      <c r="E12">
        <v>67</v>
      </c>
      <c r="F12" s="9">
        <f>D12*E12%</f>
        <v>506.52000000000004</v>
      </c>
      <c r="G12">
        <v>5.23</v>
      </c>
      <c r="H12" s="9">
        <v>30.74</v>
      </c>
      <c r="I12" s="10">
        <f>H12/F12</f>
        <v>6.068862039011292E-2</v>
      </c>
      <c r="M12" s="7" t="s">
        <v>257</v>
      </c>
      <c r="N12" s="7">
        <f>COUNTIF(B:B, "의료기기 및 용품")</f>
        <v>2</v>
      </c>
      <c r="O12" s="8">
        <f t="shared" si="0"/>
        <v>1.4388489208633094E-2</v>
      </c>
    </row>
    <row r="13" spans="1:15" ht="20.25" x14ac:dyDescent="0.3">
      <c r="A13" t="s">
        <v>86</v>
      </c>
      <c r="B13" t="s">
        <v>87</v>
      </c>
      <c r="C13" t="s">
        <v>88</v>
      </c>
      <c r="D13" s="9">
        <v>3920</v>
      </c>
      <c r="E13">
        <v>36</v>
      </c>
      <c r="F13" s="9">
        <f>D13*E13%</f>
        <v>1411.2</v>
      </c>
      <c r="G13">
        <v>2.98</v>
      </c>
      <c r="H13" s="9">
        <v>19.39</v>
      </c>
      <c r="I13" s="10">
        <f>H13/F13</f>
        <v>1.3740079365079365E-2</v>
      </c>
      <c r="M13" s="7" t="s">
        <v>258</v>
      </c>
      <c r="N13" s="7">
        <f>COUNTIF(B:B, "유틸리티")</f>
        <v>2</v>
      </c>
      <c r="O13" s="8">
        <f t="shared" si="0"/>
        <v>1.4388489208633094E-2</v>
      </c>
    </row>
    <row r="14" spans="1:15" ht="20.25" hidden="1" x14ac:dyDescent="0.3">
      <c r="A14" t="s">
        <v>38</v>
      </c>
      <c r="B14" t="s">
        <v>39</v>
      </c>
      <c r="C14" t="s">
        <v>40</v>
      </c>
      <c r="D14" s="9">
        <v>23536</v>
      </c>
      <c r="E14">
        <v>38.700000000000003</v>
      </c>
      <c r="F14" s="9">
        <f>D14*E14%</f>
        <v>9108.4320000000007</v>
      </c>
      <c r="G14">
        <v>-7.66</v>
      </c>
      <c r="H14" s="9">
        <v>203.88</v>
      </c>
      <c r="I14" s="10">
        <f>H14/F14</f>
        <v>2.2383655057204136E-2</v>
      </c>
      <c r="K14"/>
      <c r="M14" s="7" t="s">
        <v>259</v>
      </c>
      <c r="N14" s="7">
        <f>COUNTIF(B:B, "유통")</f>
        <v>2</v>
      </c>
      <c r="O14" s="8">
        <f t="shared" si="0"/>
        <v>1.4388489208633094E-2</v>
      </c>
    </row>
    <row r="15" spans="1:15" ht="20.25" x14ac:dyDescent="0.3">
      <c r="A15" t="s">
        <v>154</v>
      </c>
      <c r="B15" t="s">
        <v>87</v>
      </c>
      <c r="C15" t="s">
        <v>155</v>
      </c>
      <c r="D15" s="9">
        <v>1297</v>
      </c>
      <c r="E15">
        <v>32.9</v>
      </c>
      <c r="F15" s="9">
        <f>D15*E15%</f>
        <v>426.71299999999997</v>
      </c>
      <c r="G15">
        <v>0.18</v>
      </c>
      <c r="H15" s="9">
        <v>1.06</v>
      </c>
      <c r="I15" s="10">
        <f>H15/F15</f>
        <v>2.4841052416964098E-3</v>
      </c>
      <c r="M15" s="7" t="s">
        <v>260</v>
      </c>
      <c r="N15" s="7">
        <f>COUNTIF(B:B, "유아동산업")</f>
        <v>1</v>
      </c>
      <c r="O15" s="8">
        <f t="shared" si="0"/>
        <v>7.1942446043165471E-3</v>
      </c>
    </row>
    <row r="16" spans="1:15" ht="20.25" x14ac:dyDescent="0.3">
      <c r="A16" t="s">
        <v>41</v>
      </c>
      <c r="B16" t="s">
        <v>34</v>
      </c>
      <c r="C16" t="s">
        <v>34</v>
      </c>
      <c r="D16" s="9">
        <v>18165</v>
      </c>
      <c r="E16">
        <v>30.1</v>
      </c>
      <c r="F16" s="9">
        <f>D16*E16%</f>
        <v>5467.665</v>
      </c>
      <c r="G16">
        <v>1.56</v>
      </c>
      <c r="H16" s="9">
        <v>19.32</v>
      </c>
      <c r="I16" s="10">
        <f>H16/F16</f>
        <v>3.5335010466076471E-3</v>
      </c>
      <c r="M16" s="7" t="s">
        <v>261</v>
      </c>
      <c r="N16" s="7">
        <f>COUNTIF(B:B, "운송 및 물류")</f>
        <v>3</v>
      </c>
      <c r="O16" s="8">
        <f t="shared" si="0"/>
        <v>2.1582733812949641E-2</v>
      </c>
    </row>
    <row r="17" spans="1:15" ht="20.25" x14ac:dyDescent="0.3">
      <c r="A17" t="s">
        <v>112</v>
      </c>
      <c r="B17" t="s">
        <v>34</v>
      </c>
      <c r="C17" t="s">
        <v>34</v>
      </c>
      <c r="D17" s="9">
        <v>2436</v>
      </c>
      <c r="E17">
        <v>32.6</v>
      </c>
      <c r="F17" s="9">
        <f>D17*E17%</f>
        <v>794.13600000000008</v>
      </c>
      <c r="G17">
        <v>6.18</v>
      </c>
      <c r="H17" s="9">
        <v>17.53</v>
      </c>
      <c r="I17" s="10">
        <f>H17/F17</f>
        <v>2.2074304653107276E-2</v>
      </c>
      <c r="M17" s="7" t="s">
        <v>262</v>
      </c>
      <c r="N17" s="7">
        <f>COUNTIF(B:B, "에너지")</f>
        <v>1</v>
      </c>
      <c r="O17" s="8">
        <f t="shared" si="0"/>
        <v>7.1942446043165471E-3</v>
      </c>
    </row>
    <row r="18" spans="1:15" ht="20.25" x14ac:dyDescent="0.3">
      <c r="A18" t="s">
        <v>113</v>
      </c>
      <c r="B18" t="s">
        <v>34</v>
      </c>
      <c r="C18" t="s">
        <v>34</v>
      </c>
      <c r="D18" s="9">
        <v>4227</v>
      </c>
      <c r="E18">
        <v>36</v>
      </c>
      <c r="F18" s="9">
        <f>D18*E18%</f>
        <v>1521.72</v>
      </c>
      <c r="G18">
        <v>4.71</v>
      </c>
      <c r="H18" s="9">
        <v>12.21</v>
      </c>
      <c r="I18" s="10">
        <f>H18/F18</f>
        <v>8.0238151565333975E-3</v>
      </c>
      <c r="M18" s="7" t="s">
        <v>263</v>
      </c>
      <c r="N18" s="7">
        <f>COUNTIF(B:B, "식음료")</f>
        <v>2</v>
      </c>
      <c r="O18" s="8">
        <f t="shared" si="0"/>
        <v>1.4388489208633094E-2</v>
      </c>
    </row>
    <row r="19" spans="1:15" ht="20.25" x14ac:dyDescent="0.3">
      <c r="A19" t="s">
        <v>142</v>
      </c>
      <c r="B19" t="s">
        <v>34</v>
      </c>
      <c r="C19" t="s">
        <v>34</v>
      </c>
      <c r="D19" s="9">
        <v>3020</v>
      </c>
      <c r="E19">
        <v>46.6</v>
      </c>
      <c r="F19" s="9">
        <f>D19*E19%</f>
        <v>1407.3200000000002</v>
      </c>
      <c r="G19">
        <v>8.07</v>
      </c>
      <c r="H19" s="9">
        <v>776.11</v>
      </c>
      <c r="I19" s="10">
        <f>H19/F19</f>
        <v>0.55148082880936811</v>
      </c>
      <c r="M19" s="7" t="s">
        <v>264</v>
      </c>
      <c r="N19" s="7">
        <f>COUNTIF(B:B, "섬유 및 의류")</f>
        <v>2</v>
      </c>
      <c r="O19" s="8">
        <f t="shared" si="0"/>
        <v>1.4388489208633094E-2</v>
      </c>
    </row>
    <row r="20" spans="1:15" ht="20.25" x14ac:dyDescent="0.3">
      <c r="A20" t="s">
        <v>150</v>
      </c>
      <c r="B20" t="s">
        <v>34</v>
      </c>
      <c r="C20" t="s">
        <v>34</v>
      </c>
      <c r="D20" s="9">
        <v>7374</v>
      </c>
      <c r="E20">
        <v>28.6</v>
      </c>
      <c r="F20" s="9">
        <f>D20*E20%</f>
        <v>2108.9640000000004</v>
      </c>
      <c r="G20">
        <v>3.64</v>
      </c>
      <c r="H20" s="9">
        <v>458.82</v>
      </c>
      <c r="I20" s="10">
        <f>H20/F20</f>
        <v>0.21755705645046569</v>
      </c>
      <c r="M20" s="7" t="s">
        <v>265</v>
      </c>
      <c r="N20" s="7">
        <f>COUNTIF(B:B, "석유 및 가스")</f>
        <v>1</v>
      </c>
      <c r="O20" s="8">
        <f t="shared" si="0"/>
        <v>7.1942446043165471E-3</v>
      </c>
    </row>
    <row r="21" spans="1:15" ht="20.25" x14ac:dyDescent="0.3">
      <c r="A21" t="s">
        <v>68</v>
      </c>
      <c r="B21" t="s">
        <v>69</v>
      </c>
      <c r="C21" t="s">
        <v>70</v>
      </c>
      <c r="D21" s="9">
        <v>9771</v>
      </c>
      <c r="E21">
        <v>43.5</v>
      </c>
      <c r="F21" s="9">
        <f>D21*E21%</f>
        <v>4250.3850000000002</v>
      </c>
      <c r="G21">
        <v>17.260000000000002</v>
      </c>
      <c r="H21" s="9">
        <v>185.4</v>
      </c>
      <c r="I21" s="10">
        <f>H21/F21</f>
        <v>4.3619577991170208E-2</v>
      </c>
      <c r="M21" s="7" t="s">
        <v>266</v>
      </c>
      <c r="N21" s="7">
        <f>COUNTIF(B:B, "반도체 관련장비 및 부품")</f>
        <v>24</v>
      </c>
      <c r="O21" s="8">
        <f t="shared" si="0"/>
        <v>0.17266187050359713</v>
      </c>
    </row>
    <row r="22" spans="1:15" ht="20.25" hidden="1" x14ac:dyDescent="0.3">
      <c r="A22" t="s">
        <v>55</v>
      </c>
      <c r="B22" t="s">
        <v>29</v>
      </c>
      <c r="C22" t="s">
        <v>56</v>
      </c>
      <c r="D22" s="9">
        <v>13081</v>
      </c>
      <c r="E22">
        <v>69.099999999999994</v>
      </c>
      <c r="F22" s="9">
        <f>D22*E22%</f>
        <v>9038.9709999999995</v>
      </c>
      <c r="G22">
        <v>-1</v>
      </c>
      <c r="H22" s="9">
        <v>53.42</v>
      </c>
      <c r="I22" s="10">
        <f>H22/F22</f>
        <v>5.9099647515187294E-3</v>
      </c>
      <c r="K22"/>
      <c r="M22" s="7" t="s">
        <v>267</v>
      </c>
      <c r="N22" s="7">
        <f>COUNTIF(B:B, "미디어 및 엔터")</f>
        <v>4</v>
      </c>
      <c r="O22" s="8">
        <f t="shared" si="0"/>
        <v>2.8776978417266189E-2</v>
      </c>
    </row>
    <row r="23" spans="1:15" ht="20.25" x14ac:dyDescent="0.3">
      <c r="A23" t="s">
        <v>174</v>
      </c>
      <c r="B23" t="s">
        <v>175</v>
      </c>
      <c r="C23" t="s">
        <v>176</v>
      </c>
      <c r="D23" s="9">
        <v>1032</v>
      </c>
      <c r="E23">
        <v>46.4</v>
      </c>
      <c r="F23" s="9">
        <f>D23*E23%</f>
        <v>478.84799999999996</v>
      </c>
      <c r="G23">
        <v>1</v>
      </c>
      <c r="H23" s="9">
        <v>1.71</v>
      </c>
      <c r="I23" s="10">
        <f>H23/F23</f>
        <v>3.5710705693664797E-3</v>
      </c>
      <c r="M23" s="7" t="s">
        <v>268</v>
      </c>
      <c r="N23" s="7">
        <f>COUNTIF(B:B, "레저산업")</f>
        <v>3</v>
      </c>
      <c r="O23" s="8">
        <f t="shared" si="0"/>
        <v>2.1582733812949641E-2</v>
      </c>
    </row>
    <row r="24" spans="1:15" ht="20.25" x14ac:dyDescent="0.3">
      <c r="A24" t="s">
        <v>45</v>
      </c>
      <c r="B24" t="s">
        <v>46</v>
      </c>
      <c r="C24" t="s">
        <v>47</v>
      </c>
      <c r="D24" s="9">
        <v>45908</v>
      </c>
      <c r="E24">
        <v>76</v>
      </c>
      <c r="F24" s="9">
        <f>D24*E24%</f>
        <v>34890.080000000002</v>
      </c>
      <c r="G24">
        <v>12.76</v>
      </c>
      <c r="H24" s="9">
        <v>1475.44</v>
      </c>
      <c r="I24" s="10">
        <f>H24/F24</f>
        <v>4.2288237802836796E-2</v>
      </c>
      <c r="M24" s="7" t="s">
        <v>269</v>
      </c>
      <c r="N24" s="7">
        <f>COUNTIF(B:B, "디스플레이 장비 및 부품")</f>
        <v>5</v>
      </c>
      <c r="O24" s="8">
        <f t="shared" si="0"/>
        <v>3.5971223021582732E-2</v>
      </c>
    </row>
    <row r="25" spans="1:15" ht="20.25" x14ac:dyDescent="0.3">
      <c r="A25" t="s">
        <v>118</v>
      </c>
      <c r="B25" t="s">
        <v>46</v>
      </c>
      <c r="C25" t="s">
        <v>47</v>
      </c>
      <c r="D25" s="9">
        <v>2491</v>
      </c>
      <c r="E25">
        <v>84.1</v>
      </c>
      <c r="F25" s="9">
        <f>D25*E25%</f>
        <v>2094.931</v>
      </c>
      <c r="G25">
        <v>2.5299999999999998</v>
      </c>
      <c r="H25" s="9">
        <v>14.42</v>
      </c>
      <c r="I25" s="10">
        <f>H25/F25</f>
        <v>6.8832815973413923E-3</v>
      </c>
      <c r="M25" s="7" t="s">
        <v>270</v>
      </c>
      <c r="N25" s="7">
        <f>COUNTIF(B:B, "기계")</f>
        <v>9</v>
      </c>
      <c r="O25" s="8">
        <f t="shared" si="0"/>
        <v>6.4748201438848921E-2</v>
      </c>
    </row>
    <row r="26" spans="1:15" ht="20.25" x14ac:dyDescent="0.3">
      <c r="A26" t="s">
        <v>168</v>
      </c>
      <c r="B26" t="s">
        <v>46</v>
      </c>
      <c r="C26" t="s">
        <v>47</v>
      </c>
      <c r="D26" s="9">
        <v>904</v>
      </c>
      <c r="E26">
        <v>65.8</v>
      </c>
      <c r="F26" s="9">
        <f>D26*E26%</f>
        <v>594.83199999999988</v>
      </c>
      <c r="G26">
        <v>4.47</v>
      </c>
      <c r="H26" s="9">
        <v>19.09</v>
      </c>
      <c r="I26" s="10">
        <f>H26/F26</f>
        <v>3.2093095193264656E-2</v>
      </c>
      <c r="M26" s="7" t="s">
        <v>271</v>
      </c>
      <c r="N26" s="7">
        <f>COUNTIF(B:B, "금융")</f>
        <v>16</v>
      </c>
      <c r="O26" s="8">
        <f t="shared" si="0"/>
        <v>0.11510791366906475</v>
      </c>
    </row>
    <row r="27" spans="1:15" ht="20.25" x14ac:dyDescent="0.3">
      <c r="A27" t="s">
        <v>203</v>
      </c>
      <c r="B27" t="s">
        <v>46</v>
      </c>
      <c r="C27" t="s">
        <v>47</v>
      </c>
      <c r="D27" s="9">
        <v>358</v>
      </c>
      <c r="E27">
        <v>59.8</v>
      </c>
      <c r="F27" s="9">
        <f>D27*E27%</f>
        <v>214.084</v>
      </c>
      <c r="G27">
        <v>13.91</v>
      </c>
      <c r="H27" s="9">
        <v>21.82</v>
      </c>
      <c r="I27" s="10">
        <f>H27/F27</f>
        <v>0.10192260981670746</v>
      </c>
      <c r="M27" s="7" t="s">
        <v>272</v>
      </c>
      <c r="N27" s="7">
        <f>COUNTIF(B:B, "가정용품")</f>
        <v>5</v>
      </c>
      <c r="O27" s="8">
        <f t="shared" si="0"/>
        <v>3.5971223021582732E-2</v>
      </c>
    </row>
    <row r="28" spans="1:15" ht="20.25" x14ac:dyDescent="0.3">
      <c r="A28" t="s">
        <v>236</v>
      </c>
      <c r="B28" t="s">
        <v>46</v>
      </c>
      <c r="C28" t="s">
        <v>47</v>
      </c>
      <c r="D28" s="9">
        <v>1173</v>
      </c>
      <c r="E28">
        <v>67.5</v>
      </c>
      <c r="F28" s="9">
        <f>D28*E28%</f>
        <v>791.77500000000009</v>
      </c>
      <c r="G28">
        <v>17.61</v>
      </c>
      <c r="H28" s="9">
        <v>83.93</v>
      </c>
      <c r="I28" s="10">
        <f>H28/F28</f>
        <v>0.10600233652237062</v>
      </c>
      <c r="M28" s="7" t="s">
        <v>273</v>
      </c>
      <c r="N28" s="7">
        <f>COUNTIF(B:B, "건설 및 건축자재")</f>
        <v>5</v>
      </c>
      <c r="O28" s="8">
        <f t="shared" si="0"/>
        <v>3.5971223021582732E-2</v>
      </c>
    </row>
    <row r="29" spans="1:15" ht="20.25" x14ac:dyDescent="0.3">
      <c r="A29" t="s">
        <v>93</v>
      </c>
      <c r="B29" t="s">
        <v>94</v>
      </c>
      <c r="C29" t="s">
        <v>95</v>
      </c>
      <c r="D29" s="9">
        <v>3770</v>
      </c>
      <c r="E29">
        <v>36.9</v>
      </c>
      <c r="F29" s="9">
        <f>D29*E29%</f>
        <v>1391.1299999999999</v>
      </c>
      <c r="G29">
        <v>2.89</v>
      </c>
      <c r="H29" s="9">
        <v>9.8800000000000008</v>
      </c>
      <c r="I29" s="10">
        <f>H29/F29</f>
        <v>7.1021399869171118E-3</v>
      </c>
      <c r="M29" s="7" t="s">
        <v>274</v>
      </c>
      <c r="N29" s="7">
        <f>COUNTIF(B:B, "IT서비스")</f>
        <v>8</v>
      </c>
      <c r="O29" s="8">
        <f t="shared" si="0"/>
        <v>5.7553956834532377E-2</v>
      </c>
    </row>
    <row r="30" spans="1:15" ht="20.25" hidden="1" x14ac:dyDescent="0.3">
      <c r="A30" t="s">
        <v>73</v>
      </c>
      <c r="B30" t="s">
        <v>74</v>
      </c>
      <c r="C30" t="s">
        <v>75</v>
      </c>
      <c r="D30" s="9">
        <v>6771</v>
      </c>
      <c r="E30">
        <v>56.5</v>
      </c>
      <c r="F30" s="9">
        <f>D30*E30%</f>
        <v>3825.6149999999998</v>
      </c>
      <c r="G30">
        <v>-2.19</v>
      </c>
      <c r="H30" s="9">
        <v>31.36</v>
      </c>
      <c r="I30" s="10">
        <f>H30/F30</f>
        <v>8.1973748011757597E-3</v>
      </c>
      <c r="K30"/>
      <c r="M30" s="7" t="s">
        <v>275</v>
      </c>
      <c r="N30" s="7">
        <f>COUNTIF(B:B, "IT 장비 및 소재")</f>
        <v>10</v>
      </c>
      <c r="O30" s="8">
        <f t="shared" si="0"/>
        <v>7.1942446043165464E-2</v>
      </c>
    </row>
    <row r="31" spans="1:15" x14ac:dyDescent="0.3">
      <c r="A31" t="s">
        <v>119</v>
      </c>
      <c r="B31" t="s">
        <v>94</v>
      </c>
      <c r="C31" t="s">
        <v>120</v>
      </c>
      <c r="D31" s="9">
        <v>6538</v>
      </c>
      <c r="E31">
        <v>33.4</v>
      </c>
      <c r="F31" s="9">
        <f>D31*E31%</f>
        <v>2183.6919999999996</v>
      </c>
      <c r="G31">
        <v>10.45</v>
      </c>
      <c r="H31" s="9">
        <v>929.85</v>
      </c>
      <c r="I31" s="10">
        <f>H31/F31</f>
        <v>0.42581554541574557</v>
      </c>
    </row>
    <row r="32" spans="1:15" x14ac:dyDescent="0.3">
      <c r="A32" t="s">
        <v>221</v>
      </c>
      <c r="B32" t="s">
        <v>94</v>
      </c>
      <c r="C32" t="s">
        <v>222</v>
      </c>
      <c r="D32" s="9">
        <v>490</v>
      </c>
      <c r="E32">
        <v>64.2</v>
      </c>
      <c r="F32" s="9">
        <f>D32*E32%</f>
        <v>314.58</v>
      </c>
      <c r="G32">
        <v>3.84</v>
      </c>
      <c r="H32" s="9">
        <v>3.91</v>
      </c>
      <c r="I32" s="10">
        <f>H32/F32</f>
        <v>1.2429270773730053E-2</v>
      </c>
    </row>
    <row r="33" spans="1:11" x14ac:dyDescent="0.3">
      <c r="A33" t="s">
        <v>197</v>
      </c>
      <c r="B33" t="s">
        <v>198</v>
      </c>
      <c r="C33" t="s">
        <v>199</v>
      </c>
      <c r="D33" s="9">
        <v>1380</v>
      </c>
      <c r="E33">
        <v>60.5</v>
      </c>
      <c r="F33" s="9">
        <f>D33*E33%</f>
        <v>834.9</v>
      </c>
      <c r="G33">
        <v>6.9</v>
      </c>
      <c r="H33" s="9">
        <v>744.58</v>
      </c>
      <c r="I33" s="10">
        <f>H33/F33</f>
        <v>0.89181937956641522</v>
      </c>
    </row>
    <row r="34" spans="1:11" x14ac:dyDescent="0.3">
      <c r="A34" t="s">
        <v>212</v>
      </c>
      <c r="B34" t="s">
        <v>198</v>
      </c>
      <c r="C34" t="s">
        <v>213</v>
      </c>
      <c r="D34" s="9">
        <v>762</v>
      </c>
      <c r="E34">
        <v>38.200000000000003</v>
      </c>
      <c r="F34" s="9">
        <f>D34*E34%</f>
        <v>291.084</v>
      </c>
      <c r="G34">
        <v>3.01</v>
      </c>
      <c r="H34" s="9">
        <v>5.65</v>
      </c>
      <c r="I34" s="10">
        <f>H34/F34</f>
        <v>1.9410204614475547E-2</v>
      </c>
    </row>
    <row r="35" spans="1:11" x14ac:dyDescent="0.3">
      <c r="A35" t="s">
        <v>105</v>
      </c>
      <c r="B35" t="s">
        <v>106</v>
      </c>
      <c r="C35" t="s">
        <v>107</v>
      </c>
      <c r="D35" s="9">
        <v>3569</v>
      </c>
      <c r="E35">
        <v>23.5</v>
      </c>
      <c r="F35" s="9">
        <f>D35*E35%</f>
        <v>838.71499999999992</v>
      </c>
      <c r="G35">
        <v>0.38</v>
      </c>
      <c r="H35" s="9">
        <v>4.0199999999999996</v>
      </c>
      <c r="I35" s="10">
        <f>H35/F35</f>
        <v>4.7930465056664059E-3</v>
      </c>
    </row>
    <row r="36" spans="1:11" x14ac:dyDescent="0.3">
      <c r="A36" t="s">
        <v>65</v>
      </c>
      <c r="B36" t="s">
        <v>66</v>
      </c>
      <c r="C36" t="s">
        <v>67</v>
      </c>
      <c r="D36" s="9">
        <v>12246</v>
      </c>
      <c r="E36">
        <v>66.3</v>
      </c>
      <c r="F36" s="9">
        <f>D36*E36%</f>
        <v>8119.097999999999</v>
      </c>
      <c r="G36">
        <v>9.19</v>
      </c>
      <c r="H36" s="9">
        <v>136.09</v>
      </c>
      <c r="I36" s="10">
        <f>H36/F36</f>
        <v>1.676171417071207E-2</v>
      </c>
    </row>
    <row r="37" spans="1:11" x14ac:dyDescent="0.3">
      <c r="A37" t="s">
        <v>229</v>
      </c>
      <c r="B37" t="s">
        <v>66</v>
      </c>
      <c r="C37" t="s">
        <v>67</v>
      </c>
      <c r="D37" s="9">
        <v>1099</v>
      </c>
      <c r="E37">
        <v>73.3</v>
      </c>
      <c r="F37" s="9">
        <f>D37*E37%</f>
        <v>805.56700000000001</v>
      </c>
      <c r="G37">
        <v>1.1399999999999999</v>
      </c>
      <c r="H37" s="9">
        <v>22.6</v>
      </c>
      <c r="I37" s="10">
        <f>H37/F37</f>
        <v>2.8054773842523341E-2</v>
      </c>
    </row>
    <row r="38" spans="1:11" x14ac:dyDescent="0.3">
      <c r="A38" t="s">
        <v>10</v>
      </c>
      <c r="B38" t="s">
        <v>11</v>
      </c>
      <c r="C38" t="s">
        <v>12</v>
      </c>
      <c r="D38" s="9">
        <v>136738</v>
      </c>
      <c r="E38">
        <v>47.6</v>
      </c>
      <c r="F38" s="9">
        <f>D38*E38%</f>
        <v>65087.288000000008</v>
      </c>
      <c r="G38">
        <v>4.41</v>
      </c>
      <c r="H38" s="9">
        <v>532.4</v>
      </c>
      <c r="I38" s="10">
        <f>H38/F38</f>
        <v>8.1797846608695681E-3</v>
      </c>
    </row>
    <row r="39" spans="1:11" x14ac:dyDescent="0.3">
      <c r="A39" t="s">
        <v>48</v>
      </c>
      <c r="B39" t="s">
        <v>11</v>
      </c>
      <c r="C39" t="s">
        <v>49</v>
      </c>
      <c r="D39" s="9">
        <v>4148</v>
      </c>
      <c r="E39">
        <v>45.3</v>
      </c>
      <c r="F39" s="9">
        <f>D39*E39%</f>
        <v>1879.0439999999999</v>
      </c>
      <c r="G39">
        <v>1.19</v>
      </c>
      <c r="H39" s="9">
        <v>42.06</v>
      </c>
      <c r="I39" s="10">
        <f>H39/F39</f>
        <v>2.2383722786693663E-2</v>
      </c>
    </row>
    <row r="40" spans="1:11" x14ac:dyDescent="0.3">
      <c r="A40" t="s">
        <v>181</v>
      </c>
      <c r="B40" t="s">
        <v>39</v>
      </c>
      <c r="C40" t="s">
        <v>40</v>
      </c>
      <c r="D40" s="9">
        <v>1029</v>
      </c>
      <c r="E40">
        <v>35.5</v>
      </c>
      <c r="F40" s="9">
        <f>D40*E40%</f>
        <v>365.29499999999996</v>
      </c>
      <c r="G40">
        <v>1.67</v>
      </c>
      <c r="H40" s="9">
        <v>3.69</v>
      </c>
      <c r="I40" s="10">
        <f>H40/F40</f>
        <v>1.0101424875785326E-2</v>
      </c>
    </row>
    <row r="41" spans="1:11" x14ac:dyDescent="0.3">
      <c r="A41" t="s">
        <v>184</v>
      </c>
      <c r="B41" t="s">
        <v>185</v>
      </c>
      <c r="C41" t="s">
        <v>185</v>
      </c>
      <c r="D41" s="9">
        <v>796</v>
      </c>
      <c r="E41">
        <v>46.7</v>
      </c>
      <c r="F41" s="9">
        <f>D41*E41%</f>
        <v>371.73200000000003</v>
      </c>
      <c r="G41">
        <v>3.93</v>
      </c>
      <c r="H41" s="9">
        <v>3.61</v>
      </c>
      <c r="I41" s="10">
        <f>H41/F41</f>
        <v>9.7112973862890466E-3</v>
      </c>
    </row>
    <row r="42" spans="1:11" x14ac:dyDescent="0.3">
      <c r="A42" t="s">
        <v>22</v>
      </c>
      <c r="B42" t="s">
        <v>23</v>
      </c>
      <c r="C42" t="s">
        <v>24</v>
      </c>
      <c r="D42" s="9">
        <v>87084</v>
      </c>
      <c r="E42">
        <v>65.5</v>
      </c>
      <c r="F42" s="9">
        <f>D42*E42%</f>
        <v>57040.020000000004</v>
      </c>
      <c r="G42">
        <v>3.5</v>
      </c>
      <c r="H42" s="9">
        <v>394.18</v>
      </c>
      <c r="I42" s="10">
        <f>H42/F42</f>
        <v>6.9105866372417115E-3</v>
      </c>
    </row>
    <row r="43" spans="1:11" x14ac:dyDescent="0.3">
      <c r="A43" t="s">
        <v>57</v>
      </c>
      <c r="B43" t="s">
        <v>23</v>
      </c>
      <c r="C43" t="s">
        <v>24</v>
      </c>
      <c r="D43" s="9">
        <v>10619</v>
      </c>
      <c r="E43">
        <v>69.2</v>
      </c>
      <c r="F43" s="9">
        <f>D43*E43%</f>
        <v>7348.3480000000009</v>
      </c>
      <c r="G43">
        <v>5.63</v>
      </c>
      <c r="H43" s="9">
        <v>214.82</v>
      </c>
      <c r="I43" s="10">
        <f>H43/F43</f>
        <v>2.9233781524772639E-2</v>
      </c>
    </row>
    <row r="44" spans="1:11" hidden="1" x14ac:dyDescent="0.3">
      <c r="A44" t="s">
        <v>97</v>
      </c>
      <c r="B44" t="s">
        <v>34</v>
      </c>
      <c r="C44" t="s">
        <v>34</v>
      </c>
      <c r="D44" s="9">
        <v>4845</v>
      </c>
      <c r="E44">
        <v>44.6</v>
      </c>
      <c r="F44" s="9">
        <f>D44*E44%</f>
        <v>2160.87</v>
      </c>
      <c r="G44">
        <v>-6.89</v>
      </c>
      <c r="H44" s="9">
        <v>63.28</v>
      </c>
      <c r="I44" s="10">
        <f>H44/F44</f>
        <v>2.9284501149999771E-2</v>
      </c>
      <c r="K44"/>
    </row>
    <row r="45" spans="1:11" x14ac:dyDescent="0.3">
      <c r="A45" t="s">
        <v>63</v>
      </c>
      <c r="B45" t="s">
        <v>23</v>
      </c>
      <c r="C45" t="s">
        <v>64</v>
      </c>
      <c r="D45" s="9">
        <v>1296</v>
      </c>
      <c r="E45">
        <v>38.299999999999997</v>
      </c>
      <c r="F45" s="9">
        <f>D45*E45%</f>
        <v>496.36799999999994</v>
      </c>
      <c r="G45">
        <v>5.93</v>
      </c>
      <c r="H45" s="9">
        <v>16.690000000000001</v>
      </c>
      <c r="I45" s="10">
        <f>H45/F45</f>
        <v>3.3624246526770464E-2</v>
      </c>
    </row>
    <row r="46" spans="1:11" x14ac:dyDescent="0.3">
      <c r="A46" t="s">
        <v>128</v>
      </c>
      <c r="B46" t="s">
        <v>129</v>
      </c>
      <c r="C46" t="s">
        <v>130</v>
      </c>
      <c r="D46" s="9">
        <v>1726</v>
      </c>
      <c r="E46">
        <v>87.7</v>
      </c>
      <c r="F46" s="9">
        <f>D46*E46%</f>
        <v>1513.702</v>
      </c>
      <c r="G46">
        <v>9.5399999999999991</v>
      </c>
      <c r="H46" s="9">
        <v>25.96</v>
      </c>
      <c r="I46" s="10">
        <f>H46/F46</f>
        <v>1.7150007068762543E-2</v>
      </c>
    </row>
    <row r="47" spans="1:11" x14ac:dyDescent="0.3">
      <c r="A47" t="s">
        <v>135</v>
      </c>
      <c r="B47" t="s">
        <v>136</v>
      </c>
      <c r="C47" t="s">
        <v>137</v>
      </c>
      <c r="D47" s="9">
        <v>1544</v>
      </c>
      <c r="E47">
        <v>32</v>
      </c>
      <c r="F47" s="9">
        <f>D47*E47%</f>
        <v>494.08</v>
      </c>
      <c r="G47">
        <v>3.64</v>
      </c>
      <c r="H47" s="9">
        <v>120.01</v>
      </c>
      <c r="I47" s="10">
        <f>H47/F47</f>
        <v>0.2428958873056995</v>
      </c>
    </row>
    <row r="48" spans="1:11" x14ac:dyDescent="0.3">
      <c r="A48" t="s">
        <v>205</v>
      </c>
      <c r="B48" t="s">
        <v>136</v>
      </c>
      <c r="C48" t="s">
        <v>206</v>
      </c>
      <c r="D48" s="9">
        <v>886</v>
      </c>
      <c r="E48">
        <v>46.8</v>
      </c>
      <c r="F48" s="9">
        <f>D48*E48%</f>
        <v>414.64799999999997</v>
      </c>
      <c r="G48">
        <v>6.07</v>
      </c>
      <c r="H48" s="9">
        <v>16.3</v>
      </c>
      <c r="I48" s="10">
        <f>H48/F48</f>
        <v>3.9310451274333899E-2</v>
      </c>
    </row>
    <row r="49" spans="1:11" x14ac:dyDescent="0.3">
      <c r="A49" t="s">
        <v>42</v>
      </c>
      <c r="B49" t="s">
        <v>43</v>
      </c>
      <c r="C49" t="s">
        <v>44</v>
      </c>
      <c r="D49" s="9">
        <v>25455</v>
      </c>
      <c r="E49">
        <v>63.8</v>
      </c>
      <c r="F49" s="9">
        <f>D49*E49%</f>
        <v>16240.29</v>
      </c>
      <c r="G49">
        <v>4.49</v>
      </c>
      <c r="H49" s="9">
        <v>79.37</v>
      </c>
      <c r="I49" s="10">
        <f>H49/F49</f>
        <v>4.8872279990074072E-3</v>
      </c>
    </row>
    <row r="50" spans="1:11" hidden="1" x14ac:dyDescent="0.3">
      <c r="A50" t="s">
        <v>109</v>
      </c>
      <c r="B50" t="s">
        <v>110</v>
      </c>
      <c r="C50" t="s">
        <v>111</v>
      </c>
      <c r="D50" s="9">
        <v>3171</v>
      </c>
      <c r="E50">
        <v>81.2</v>
      </c>
      <c r="F50" s="9">
        <f>D50*E50%</f>
        <v>2574.8520000000003</v>
      </c>
      <c r="G50">
        <v>-1.93</v>
      </c>
      <c r="H50" s="9">
        <v>30.92</v>
      </c>
      <c r="I50" s="10">
        <f>H50/F50</f>
        <v>1.2008457185111997E-2</v>
      </c>
      <c r="K50"/>
    </row>
    <row r="51" spans="1:11" x14ac:dyDescent="0.3">
      <c r="A51" t="s">
        <v>230</v>
      </c>
      <c r="B51" t="s">
        <v>43</v>
      </c>
      <c r="C51" t="s">
        <v>44</v>
      </c>
      <c r="D51" s="9">
        <v>758</v>
      </c>
      <c r="E51">
        <v>71.400000000000006</v>
      </c>
      <c r="F51" s="9">
        <f>D51*E51%</f>
        <v>541.2120000000001</v>
      </c>
      <c r="G51">
        <v>17.899999999999999</v>
      </c>
      <c r="H51" s="9">
        <v>172.97</v>
      </c>
      <c r="I51" s="10">
        <f>H51/F51</f>
        <v>0.31959749599048054</v>
      </c>
    </row>
    <row r="52" spans="1:11" x14ac:dyDescent="0.3">
      <c r="A52" t="s">
        <v>19</v>
      </c>
      <c r="B52" t="s">
        <v>20</v>
      </c>
      <c r="C52" t="s">
        <v>21</v>
      </c>
      <c r="D52" s="9">
        <v>80497</v>
      </c>
      <c r="E52">
        <v>36.6</v>
      </c>
      <c r="F52" s="9">
        <f>D52*E52%</f>
        <v>29461.901999999998</v>
      </c>
      <c r="G52">
        <v>3.03</v>
      </c>
      <c r="H52" s="9">
        <v>299.89999999999998</v>
      </c>
      <c r="I52" s="10">
        <f>H52/F52</f>
        <v>1.0179247762075917E-2</v>
      </c>
    </row>
    <row r="53" spans="1:11" x14ac:dyDescent="0.3">
      <c r="A53" t="s">
        <v>7</v>
      </c>
      <c r="B53" t="s">
        <v>8</v>
      </c>
      <c r="C53" t="s">
        <v>9</v>
      </c>
      <c r="D53" s="9">
        <v>1092004</v>
      </c>
      <c r="E53">
        <v>74</v>
      </c>
      <c r="F53" s="9">
        <f>D53*E53%</f>
        <v>808082.96</v>
      </c>
      <c r="G53">
        <v>5.04</v>
      </c>
      <c r="H53" s="9">
        <v>10249.35</v>
      </c>
      <c r="I53" s="10">
        <f>H53/F53</f>
        <v>1.2683536848741373E-2</v>
      </c>
    </row>
    <row r="54" spans="1:11" x14ac:dyDescent="0.3">
      <c r="A54" t="s">
        <v>35</v>
      </c>
      <c r="B54" t="s">
        <v>8</v>
      </c>
      <c r="C54" t="s">
        <v>36</v>
      </c>
      <c r="D54" s="9">
        <v>33381</v>
      </c>
      <c r="E54">
        <v>64.900000000000006</v>
      </c>
      <c r="F54" s="9">
        <f>D54*E54%</f>
        <v>21664.269</v>
      </c>
      <c r="G54">
        <v>8.42</v>
      </c>
      <c r="H54" s="9">
        <v>1177.4100000000001</v>
      </c>
      <c r="I54" s="10">
        <f>H54/F54</f>
        <v>5.4348014234867563E-2</v>
      </c>
    </row>
    <row r="55" spans="1:11" x14ac:dyDescent="0.3">
      <c r="A55" t="s">
        <v>50</v>
      </c>
      <c r="B55" t="s">
        <v>8</v>
      </c>
      <c r="C55" t="s">
        <v>36</v>
      </c>
      <c r="D55" s="9">
        <v>78845</v>
      </c>
      <c r="E55">
        <v>44.1</v>
      </c>
      <c r="F55" s="9">
        <f>D55*E55%</f>
        <v>34770.644999999997</v>
      </c>
      <c r="G55">
        <v>3.18</v>
      </c>
      <c r="H55" s="9">
        <v>6627.65</v>
      </c>
      <c r="I55" s="10">
        <f>H55/F55</f>
        <v>0.190610499172506</v>
      </c>
    </row>
    <row r="56" spans="1:11" x14ac:dyDescent="0.3">
      <c r="A56" t="s">
        <v>51</v>
      </c>
      <c r="B56" t="s">
        <v>8</v>
      </c>
      <c r="C56" t="s">
        <v>9</v>
      </c>
      <c r="D56" s="9">
        <v>49176</v>
      </c>
      <c r="E56">
        <v>58.6</v>
      </c>
      <c r="F56" s="9">
        <f>D56*E56%</f>
        <v>28817.135999999999</v>
      </c>
      <c r="G56">
        <v>21.14</v>
      </c>
      <c r="H56" s="9">
        <v>9196.2800000000007</v>
      </c>
      <c r="I56" s="10">
        <f>H56/F56</f>
        <v>0.3191253981658691</v>
      </c>
    </row>
    <row r="57" spans="1:11" x14ac:dyDescent="0.3">
      <c r="A57" t="s">
        <v>81</v>
      </c>
      <c r="B57" t="s">
        <v>8</v>
      </c>
      <c r="C57" t="s">
        <v>36</v>
      </c>
      <c r="D57" s="9">
        <v>6257</v>
      </c>
      <c r="E57">
        <v>67</v>
      </c>
      <c r="F57" s="9">
        <f>D57*E57%</f>
        <v>4192.1900000000005</v>
      </c>
      <c r="G57">
        <v>2.86</v>
      </c>
      <c r="H57" s="9">
        <v>83.7</v>
      </c>
      <c r="I57" s="10">
        <f>H57/F57</f>
        <v>1.9965698119598585E-2</v>
      </c>
    </row>
    <row r="58" spans="1:11" x14ac:dyDescent="0.3">
      <c r="A58" t="s">
        <v>85</v>
      </c>
      <c r="B58" t="s">
        <v>8</v>
      </c>
      <c r="C58" t="s">
        <v>36</v>
      </c>
      <c r="D58" s="9">
        <v>6305</v>
      </c>
      <c r="E58">
        <v>34.200000000000003</v>
      </c>
      <c r="F58" s="9">
        <f>D58*E58%</f>
        <v>2156.31</v>
      </c>
      <c r="G58">
        <v>17.28</v>
      </c>
      <c r="H58" s="9">
        <v>711.77</v>
      </c>
      <c r="I58" s="10">
        <f>H58/F58</f>
        <v>0.33008704685318901</v>
      </c>
    </row>
    <row r="59" spans="1:11" x14ac:dyDescent="0.3">
      <c r="A59" t="s">
        <v>89</v>
      </c>
      <c r="B59" t="s">
        <v>8</v>
      </c>
      <c r="C59" t="s">
        <v>90</v>
      </c>
      <c r="D59" s="9">
        <v>3915</v>
      </c>
      <c r="E59">
        <v>54.3</v>
      </c>
      <c r="F59" s="9">
        <f>D59*E59%</f>
        <v>2125.8449999999998</v>
      </c>
      <c r="G59">
        <v>4.37</v>
      </c>
      <c r="H59" s="9">
        <v>19.690000000000001</v>
      </c>
      <c r="I59" s="10">
        <f>H59/F59</f>
        <v>9.2621992666445593E-3</v>
      </c>
    </row>
    <row r="60" spans="1:11" x14ac:dyDescent="0.3">
      <c r="A60" t="s">
        <v>96</v>
      </c>
      <c r="B60" t="s">
        <v>8</v>
      </c>
      <c r="C60" t="s">
        <v>36</v>
      </c>
      <c r="D60" s="9">
        <v>6926</v>
      </c>
      <c r="E60">
        <v>45.8</v>
      </c>
      <c r="F60" s="9">
        <f>D60*E60%</f>
        <v>3172.1079999999997</v>
      </c>
      <c r="G60">
        <v>5.9</v>
      </c>
      <c r="H60" s="9">
        <v>110.41</v>
      </c>
      <c r="I60" s="10">
        <f>H60/F60</f>
        <v>3.4806507218543635E-2</v>
      </c>
    </row>
    <row r="61" spans="1:11" x14ac:dyDescent="0.3">
      <c r="A61" t="s">
        <v>123</v>
      </c>
      <c r="B61" t="s">
        <v>8</v>
      </c>
      <c r="C61" t="s">
        <v>36</v>
      </c>
      <c r="D61" s="9">
        <v>6981</v>
      </c>
      <c r="E61">
        <v>82.3</v>
      </c>
      <c r="F61" s="9">
        <f>D61*E61%</f>
        <v>5745.3629999999994</v>
      </c>
      <c r="G61">
        <v>7.41</v>
      </c>
      <c r="H61" s="9">
        <v>1117.3699999999999</v>
      </c>
      <c r="I61" s="10">
        <f>H61/F61</f>
        <v>0.19448205448463396</v>
      </c>
    </row>
    <row r="62" spans="1:11" x14ac:dyDescent="0.3">
      <c r="A62" t="s">
        <v>131</v>
      </c>
      <c r="B62" t="s">
        <v>8</v>
      </c>
      <c r="C62" t="s">
        <v>36</v>
      </c>
      <c r="D62" s="9">
        <v>5327</v>
      </c>
      <c r="E62">
        <v>66</v>
      </c>
      <c r="F62" s="9">
        <f>D62*E62%</f>
        <v>3515.82</v>
      </c>
      <c r="G62">
        <v>10.33</v>
      </c>
      <c r="H62" s="9">
        <v>1014.69</v>
      </c>
      <c r="I62" s="10">
        <f>H62/F62</f>
        <v>0.28860692526921172</v>
      </c>
    </row>
    <row r="63" spans="1:11" x14ac:dyDescent="0.3">
      <c r="A63" t="s">
        <v>132</v>
      </c>
      <c r="B63" t="s">
        <v>8</v>
      </c>
      <c r="C63" t="s">
        <v>36</v>
      </c>
      <c r="D63" s="9">
        <v>3429</v>
      </c>
      <c r="E63">
        <v>72.599999999999994</v>
      </c>
      <c r="F63" s="9">
        <f>D63*E63%</f>
        <v>2489.4539999999997</v>
      </c>
      <c r="G63">
        <v>9.69</v>
      </c>
      <c r="H63" s="9">
        <v>553.44000000000005</v>
      </c>
      <c r="I63" s="10">
        <f>H63/F63</f>
        <v>0.22231380857007205</v>
      </c>
    </row>
    <row r="64" spans="1:11" x14ac:dyDescent="0.3">
      <c r="A64" t="s">
        <v>133</v>
      </c>
      <c r="B64" t="s">
        <v>8</v>
      </c>
      <c r="C64" t="s">
        <v>9</v>
      </c>
      <c r="D64" s="9">
        <v>10029</v>
      </c>
      <c r="E64">
        <v>43.3</v>
      </c>
      <c r="F64" s="9">
        <f>D64*E64%</f>
        <v>4342.5569999999998</v>
      </c>
      <c r="G64">
        <v>26.52</v>
      </c>
      <c r="H64" s="9">
        <v>3688.08</v>
      </c>
      <c r="I64" s="10">
        <f>H64/F64</f>
        <v>0.84928764320191996</v>
      </c>
    </row>
    <row r="65" spans="1:11" x14ac:dyDescent="0.3">
      <c r="A65" t="s">
        <v>138</v>
      </c>
      <c r="B65" t="s">
        <v>8</v>
      </c>
      <c r="C65" t="s">
        <v>139</v>
      </c>
      <c r="D65" s="9">
        <v>3026</v>
      </c>
      <c r="E65">
        <v>37.700000000000003</v>
      </c>
      <c r="F65" s="9">
        <f>D65*E65%</f>
        <v>1140.8019999999999</v>
      </c>
      <c r="G65">
        <v>8.49</v>
      </c>
      <c r="H65" s="9">
        <v>52.79</v>
      </c>
      <c r="I65" s="10">
        <f>H65/F65</f>
        <v>4.6274463053185395E-2</v>
      </c>
    </row>
    <row r="66" spans="1:11" x14ac:dyDescent="0.3">
      <c r="A66" t="s">
        <v>140</v>
      </c>
      <c r="B66" t="s">
        <v>8</v>
      </c>
      <c r="C66" t="s">
        <v>141</v>
      </c>
      <c r="D66" s="9">
        <v>4042</v>
      </c>
      <c r="E66">
        <v>79.3</v>
      </c>
      <c r="F66" s="9">
        <f>D66*E66%</f>
        <v>3205.3059999999996</v>
      </c>
      <c r="G66">
        <v>7.12</v>
      </c>
      <c r="H66" s="9">
        <v>419.71</v>
      </c>
      <c r="I66" s="10">
        <f>H66/F66</f>
        <v>0.13094225637115459</v>
      </c>
    </row>
    <row r="67" spans="1:11" x14ac:dyDescent="0.3">
      <c r="A67" t="s">
        <v>143</v>
      </c>
      <c r="B67" t="s">
        <v>8</v>
      </c>
      <c r="C67" t="s">
        <v>36</v>
      </c>
      <c r="D67" s="9">
        <v>4146</v>
      </c>
      <c r="E67">
        <v>80.599999999999994</v>
      </c>
      <c r="F67" s="9">
        <f>D67*E67%</f>
        <v>3341.6759999999999</v>
      </c>
      <c r="G67">
        <v>6.42</v>
      </c>
      <c r="H67" s="9">
        <v>208.81</v>
      </c>
      <c r="I67" s="10">
        <f>H67/F67</f>
        <v>6.248660851620564E-2</v>
      </c>
    </row>
    <row r="68" spans="1:11" x14ac:dyDescent="0.3">
      <c r="A68" t="s">
        <v>144</v>
      </c>
      <c r="B68" t="s">
        <v>8</v>
      </c>
      <c r="C68" t="s">
        <v>9</v>
      </c>
      <c r="D68" s="9">
        <v>6148</v>
      </c>
      <c r="E68">
        <v>67.7</v>
      </c>
      <c r="F68" s="9">
        <f>D68*E68%</f>
        <v>4162.1959999999999</v>
      </c>
      <c r="G68">
        <v>14.81</v>
      </c>
      <c r="H68" s="9">
        <v>3170.84</v>
      </c>
      <c r="I68" s="10">
        <f>H68/F68</f>
        <v>0.76181900131565172</v>
      </c>
    </row>
    <row r="69" spans="1:11" x14ac:dyDescent="0.3">
      <c r="A69" t="s">
        <v>147</v>
      </c>
      <c r="B69" t="s">
        <v>8</v>
      </c>
      <c r="C69" t="s">
        <v>141</v>
      </c>
      <c r="D69" s="9">
        <v>4452</v>
      </c>
      <c r="E69">
        <v>66.900000000000006</v>
      </c>
      <c r="F69" s="9">
        <f>D69*E69%</f>
        <v>2978.3880000000004</v>
      </c>
      <c r="G69">
        <v>6.14</v>
      </c>
      <c r="H69" s="9">
        <v>224.8</v>
      </c>
      <c r="I69" s="10">
        <f>H69/F69</f>
        <v>7.5477070146669933E-2</v>
      </c>
    </row>
    <row r="70" spans="1:11" x14ac:dyDescent="0.3">
      <c r="A70" t="s">
        <v>159</v>
      </c>
      <c r="B70" t="s">
        <v>8</v>
      </c>
      <c r="C70" t="s">
        <v>141</v>
      </c>
      <c r="D70" s="9">
        <v>6455</v>
      </c>
      <c r="E70">
        <v>65.099999999999994</v>
      </c>
      <c r="F70" s="9">
        <f>D70*E70%</f>
        <v>4202.204999999999</v>
      </c>
      <c r="G70">
        <v>12.93</v>
      </c>
      <c r="H70" s="9">
        <v>757.12</v>
      </c>
      <c r="I70" s="10">
        <f>H70/F70</f>
        <v>0.18017207632659524</v>
      </c>
    </row>
    <row r="71" spans="1:11" x14ac:dyDescent="0.3">
      <c r="A71" t="s">
        <v>162</v>
      </c>
      <c r="B71" t="s">
        <v>8</v>
      </c>
      <c r="C71" t="s">
        <v>163</v>
      </c>
      <c r="D71" s="9">
        <v>2861</v>
      </c>
      <c r="E71">
        <v>52.7</v>
      </c>
      <c r="F71" s="9">
        <f>D71*E71%</f>
        <v>1507.7470000000001</v>
      </c>
      <c r="G71">
        <v>16.52</v>
      </c>
      <c r="H71" s="9">
        <v>2039.38</v>
      </c>
      <c r="I71" s="10">
        <f>H71/F71</f>
        <v>1.3526009337110272</v>
      </c>
    </row>
    <row r="72" spans="1:11" x14ac:dyDescent="0.3">
      <c r="A72" t="s">
        <v>169</v>
      </c>
      <c r="B72" t="s">
        <v>8</v>
      </c>
      <c r="C72" t="s">
        <v>36</v>
      </c>
      <c r="D72" s="9">
        <v>1784</v>
      </c>
      <c r="E72">
        <v>47.9</v>
      </c>
      <c r="F72" s="9">
        <f>D72*E72%</f>
        <v>854.53599999999994</v>
      </c>
      <c r="G72">
        <v>10.78</v>
      </c>
      <c r="H72" s="9">
        <v>72.37</v>
      </c>
      <c r="I72" s="10">
        <f>H72/F72</f>
        <v>8.4689234859619739E-2</v>
      </c>
    </row>
    <row r="73" spans="1:11" x14ac:dyDescent="0.3">
      <c r="A73" t="s">
        <v>204</v>
      </c>
      <c r="B73" t="s">
        <v>8</v>
      </c>
      <c r="C73" t="s">
        <v>36</v>
      </c>
      <c r="D73" s="9">
        <v>940</v>
      </c>
      <c r="E73">
        <v>60.5</v>
      </c>
      <c r="F73" s="9">
        <f>D73*E73%</f>
        <v>568.69999999999993</v>
      </c>
      <c r="G73">
        <v>4.2300000000000004</v>
      </c>
      <c r="H73" s="9">
        <v>19.02</v>
      </c>
      <c r="I73" s="10">
        <f>H73/F73</f>
        <v>3.3444698435027259E-2</v>
      </c>
    </row>
    <row r="74" spans="1:11" x14ac:dyDescent="0.3">
      <c r="A74" t="s">
        <v>235</v>
      </c>
      <c r="B74" t="s">
        <v>8</v>
      </c>
      <c r="C74" t="s">
        <v>9</v>
      </c>
      <c r="D74" s="9">
        <v>2476</v>
      </c>
      <c r="E74">
        <v>38.200000000000003</v>
      </c>
      <c r="F74" s="9">
        <f>D74*E74%</f>
        <v>945.83199999999999</v>
      </c>
      <c r="G74">
        <v>8.27</v>
      </c>
      <c r="H74" s="9">
        <v>534.04999999999995</v>
      </c>
      <c r="I74" s="10">
        <f>H74/F74</f>
        <v>0.56463515719493518</v>
      </c>
    </row>
    <row r="75" spans="1:11" x14ac:dyDescent="0.3">
      <c r="A75" t="s">
        <v>237</v>
      </c>
      <c r="B75" t="s">
        <v>8</v>
      </c>
      <c r="C75" t="s">
        <v>36</v>
      </c>
      <c r="D75" s="9">
        <v>4221</v>
      </c>
      <c r="E75">
        <v>47.6</v>
      </c>
      <c r="F75" s="9">
        <f>D75*E75%</f>
        <v>2009.1960000000001</v>
      </c>
      <c r="G75">
        <v>15.52</v>
      </c>
      <c r="H75" s="9">
        <v>814.69</v>
      </c>
      <c r="I75" s="10">
        <f>H75/F75</f>
        <v>0.4054806002002791</v>
      </c>
    </row>
    <row r="76" spans="1:11" x14ac:dyDescent="0.3">
      <c r="A76" t="s">
        <v>238</v>
      </c>
      <c r="B76" t="s">
        <v>8</v>
      </c>
      <c r="C76" t="s">
        <v>9</v>
      </c>
      <c r="D76" s="9">
        <v>5563</v>
      </c>
      <c r="E76">
        <v>52.5</v>
      </c>
      <c r="F76" s="9">
        <f>D76*E76%</f>
        <v>2920.5750000000003</v>
      </c>
      <c r="G76">
        <v>13.51</v>
      </c>
      <c r="H76" s="9">
        <v>1376.19</v>
      </c>
      <c r="I76" s="10">
        <f>H76/F76</f>
        <v>0.47120515651883615</v>
      </c>
      <c r="J76" s="9">
        <v>44240</v>
      </c>
      <c r="K76" s="10">
        <f>J76/$L$2</f>
        <v>0.52175964146715414</v>
      </c>
    </row>
    <row r="77" spans="1:11" x14ac:dyDescent="0.3">
      <c r="A77" t="s">
        <v>13</v>
      </c>
      <c r="B77" t="s">
        <v>14</v>
      </c>
      <c r="C77" t="s">
        <v>15</v>
      </c>
      <c r="D77" s="9">
        <v>111238</v>
      </c>
      <c r="E77">
        <v>60.1</v>
      </c>
      <c r="F77" s="9">
        <f>D77*E77%</f>
        <v>66854.038</v>
      </c>
      <c r="G77">
        <v>7.48</v>
      </c>
      <c r="H77" s="9">
        <v>643.27</v>
      </c>
      <c r="I77" s="10">
        <f>H77/F77</f>
        <v>9.6220066766946818E-3</v>
      </c>
    </row>
    <row r="78" spans="1:11" x14ac:dyDescent="0.3">
      <c r="A78" t="s">
        <v>114</v>
      </c>
      <c r="B78" t="s">
        <v>14</v>
      </c>
      <c r="C78" t="s">
        <v>115</v>
      </c>
      <c r="D78" s="9">
        <v>3631</v>
      </c>
      <c r="E78">
        <v>23.4</v>
      </c>
      <c r="F78" s="9">
        <f>D78*E78%</f>
        <v>849.654</v>
      </c>
      <c r="G78">
        <v>2.17</v>
      </c>
      <c r="H78" s="9">
        <v>7.27</v>
      </c>
      <c r="I78" s="10">
        <f>H78/F78</f>
        <v>8.5564241444164319E-3</v>
      </c>
    </row>
    <row r="79" spans="1:11" x14ac:dyDescent="0.3">
      <c r="A79" t="s">
        <v>200</v>
      </c>
      <c r="B79" t="s">
        <v>14</v>
      </c>
      <c r="C79" t="s">
        <v>15</v>
      </c>
      <c r="D79" s="9">
        <v>1457</v>
      </c>
      <c r="E79">
        <v>83.6</v>
      </c>
      <c r="F79" s="9">
        <f>D79*E79%</f>
        <v>1218.0519999999999</v>
      </c>
      <c r="G79">
        <v>7.56</v>
      </c>
      <c r="H79" s="9">
        <v>16.7</v>
      </c>
      <c r="I79" s="10">
        <f>H79/F79</f>
        <v>1.3710416304065836E-2</v>
      </c>
    </row>
    <row r="80" spans="1:11" x14ac:dyDescent="0.3">
      <c r="A80" t="s">
        <v>232</v>
      </c>
      <c r="B80" t="s">
        <v>14</v>
      </c>
      <c r="C80" t="s">
        <v>15</v>
      </c>
      <c r="D80" s="9">
        <v>714</v>
      </c>
      <c r="E80">
        <v>73.8</v>
      </c>
      <c r="F80" s="9">
        <f>D80*E80%</f>
        <v>526.93200000000002</v>
      </c>
      <c r="G80">
        <v>18.28</v>
      </c>
      <c r="H80" s="9">
        <v>46.95</v>
      </c>
      <c r="I80" s="10">
        <f>H80/F80</f>
        <v>8.9100680922775621E-2</v>
      </c>
    </row>
    <row r="81" spans="1:11" x14ac:dyDescent="0.3">
      <c r="A81" t="s">
        <v>148</v>
      </c>
      <c r="B81" t="s">
        <v>110</v>
      </c>
      <c r="C81" t="s">
        <v>111</v>
      </c>
      <c r="D81" s="9">
        <v>1490</v>
      </c>
      <c r="E81">
        <v>54.1</v>
      </c>
      <c r="F81" s="9">
        <f>D81*E81%</f>
        <v>806.09</v>
      </c>
      <c r="G81">
        <v>2.15</v>
      </c>
      <c r="H81" s="9">
        <v>7.25</v>
      </c>
      <c r="I81" s="10">
        <f>H81/F81</f>
        <v>8.9940329243632846E-3</v>
      </c>
    </row>
    <row r="82" spans="1:11" x14ac:dyDescent="0.3">
      <c r="A82" t="s">
        <v>226</v>
      </c>
      <c r="B82" t="s">
        <v>110</v>
      </c>
      <c r="C82" t="s">
        <v>111</v>
      </c>
      <c r="D82" s="9">
        <v>429</v>
      </c>
      <c r="E82">
        <v>67.900000000000006</v>
      </c>
      <c r="F82" s="9">
        <f>D82*E82%</f>
        <v>291.291</v>
      </c>
      <c r="G82">
        <v>1.5</v>
      </c>
      <c r="H82" s="9">
        <v>0.95</v>
      </c>
      <c r="I82" s="10">
        <f>H82/F82</f>
        <v>3.2613434675290345E-3</v>
      </c>
    </row>
    <row r="83" spans="1:11" x14ac:dyDescent="0.3">
      <c r="A83" t="s">
        <v>178</v>
      </c>
      <c r="B83" t="s">
        <v>179</v>
      </c>
      <c r="C83" t="s">
        <v>180</v>
      </c>
      <c r="D83" s="9">
        <v>4451</v>
      </c>
      <c r="E83">
        <v>58.2</v>
      </c>
      <c r="F83" s="9">
        <f>D83*E83%</f>
        <v>2590.4820000000004</v>
      </c>
      <c r="G83">
        <v>4.9000000000000004</v>
      </c>
      <c r="H83" s="9">
        <v>225.15</v>
      </c>
      <c r="I83" s="10">
        <f>H83/F83</f>
        <v>8.6914327140663383E-2</v>
      </c>
    </row>
    <row r="84" spans="1:11" x14ac:dyDescent="0.3">
      <c r="A84" t="s">
        <v>207</v>
      </c>
      <c r="B84" t="s">
        <v>179</v>
      </c>
      <c r="C84" t="s">
        <v>208</v>
      </c>
      <c r="D84" s="9">
        <v>1016</v>
      </c>
      <c r="E84">
        <v>64.5</v>
      </c>
      <c r="F84" s="9">
        <f>D84*E84%</f>
        <v>655.32000000000005</v>
      </c>
      <c r="G84">
        <v>5.15</v>
      </c>
      <c r="H84" s="9">
        <v>55.58</v>
      </c>
      <c r="I84" s="10">
        <f>H84/F84</f>
        <v>8.4813526216199711E-2</v>
      </c>
    </row>
    <row r="85" spans="1:11" x14ac:dyDescent="0.3">
      <c r="A85" t="s">
        <v>210</v>
      </c>
      <c r="B85" t="s">
        <v>179</v>
      </c>
      <c r="C85" t="s">
        <v>208</v>
      </c>
      <c r="D85" s="9">
        <v>982</v>
      </c>
      <c r="E85">
        <v>45.9</v>
      </c>
      <c r="F85" s="9">
        <f>D85*E85%</f>
        <v>450.73799999999994</v>
      </c>
      <c r="G85">
        <v>3.56</v>
      </c>
      <c r="H85" s="9">
        <v>40.57</v>
      </c>
      <c r="I85" s="10">
        <f>H85/F85</f>
        <v>9.0007942529806678E-2</v>
      </c>
    </row>
    <row r="86" spans="1:11" x14ac:dyDescent="0.3">
      <c r="A86" t="s">
        <v>225</v>
      </c>
      <c r="B86" t="s">
        <v>179</v>
      </c>
      <c r="C86" t="s">
        <v>208</v>
      </c>
      <c r="D86" s="9">
        <v>821</v>
      </c>
      <c r="E86">
        <v>55.8</v>
      </c>
      <c r="F86" s="9">
        <f>D86*E86%</f>
        <v>458.11799999999994</v>
      </c>
      <c r="G86">
        <v>7.22</v>
      </c>
      <c r="H86" s="9">
        <v>15.43</v>
      </c>
      <c r="I86" s="10">
        <f>H86/F86</f>
        <v>3.3681278622538301E-2</v>
      </c>
    </row>
    <row r="87" spans="1:11" hidden="1" x14ac:dyDescent="0.3">
      <c r="A87" t="s">
        <v>164</v>
      </c>
      <c r="B87" t="s">
        <v>74</v>
      </c>
      <c r="C87" t="s">
        <v>152</v>
      </c>
      <c r="D87" s="9">
        <v>1352</v>
      </c>
      <c r="E87">
        <v>49.4</v>
      </c>
      <c r="F87" s="9">
        <f>D87*E87%</f>
        <v>667.88800000000003</v>
      </c>
      <c r="G87">
        <v>-2.12</v>
      </c>
      <c r="H87" s="9">
        <v>5.37</v>
      </c>
      <c r="I87" s="10">
        <f>H87/F87</f>
        <v>8.0402702249478958E-3</v>
      </c>
      <c r="K87"/>
    </row>
    <row r="88" spans="1:11" x14ac:dyDescent="0.3">
      <c r="A88" t="s">
        <v>227</v>
      </c>
      <c r="B88" t="s">
        <v>179</v>
      </c>
      <c r="C88" t="s">
        <v>180</v>
      </c>
      <c r="D88" s="9">
        <v>473</v>
      </c>
      <c r="E88">
        <v>50</v>
      </c>
      <c r="F88" s="9">
        <f>D88*E88%</f>
        <v>236.5</v>
      </c>
      <c r="G88">
        <v>29.84</v>
      </c>
      <c r="H88" s="9">
        <v>76.33</v>
      </c>
      <c r="I88" s="10">
        <f>H88/F88</f>
        <v>0.32274841437632135</v>
      </c>
    </row>
    <row r="89" spans="1:11" x14ac:dyDescent="0.3">
      <c r="A89" t="s">
        <v>79</v>
      </c>
      <c r="B89" t="s">
        <v>80</v>
      </c>
      <c r="C89" t="s">
        <v>80</v>
      </c>
      <c r="D89" s="9">
        <v>33775</v>
      </c>
      <c r="E89">
        <v>36.9</v>
      </c>
      <c r="F89" s="9">
        <f>D89*E89%</f>
        <v>12462.975</v>
      </c>
      <c r="G89">
        <v>3.32</v>
      </c>
      <c r="H89" s="9">
        <v>1396.95</v>
      </c>
      <c r="I89" s="10">
        <f>H89/F89</f>
        <v>0.11208800466983204</v>
      </c>
    </row>
    <row r="90" spans="1:11" x14ac:dyDescent="0.3">
      <c r="A90" t="s">
        <v>116</v>
      </c>
      <c r="B90" t="s">
        <v>80</v>
      </c>
      <c r="C90" t="s">
        <v>117</v>
      </c>
      <c r="D90" s="9">
        <v>3131</v>
      </c>
      <c r="E90">
        <v>31.4</v>
      </c>
      <c r="F90" s="9">
        <f>D90*E90%</f>
        <v>983.13400000000001</v>
      </c>
      <c r="G90">
        <v>23.63</v>
      </c>
      <c r="H90" s="9">
        <v>1401.23</v>
      </c>
      <c r="I90" s="10">
        <f>H90/F90</f>
        <v>1.4252685798680547</v>
      </c>
    </row>
    <row r="91" spans="1:11" x14ac:dyDescent="0.3">
      <c r="A91" t="s">
        <v>157</v>
      </c>
      <c r="B91" t="s">
        <v>80</v>
      </c>
      <c r="C91" t="s">
        <v>158</v>
      </c>
      <c r="D91" s="9">
        <v>1512</v>
      </c>
      <c r="E91">
        <v>61.5</v>
      </c>
      <c r="F91" s="9">
        <f>D91*E91%</f>
        <v>929.88</v>
      </c>
      <c r="G91">
        <v>5.63</v>
      </c>
      <c r="H91" s="9">
        <v>22.43</v>
      </c>
      <c r="I91" s="10">
        <f>H91/F91</f>
        <v>2.4121392007570869E-2</v>
      </c>
    </row>
    <row r="92" spans="1:11" hidden="1" x14ac:dyDescent="0.3">
      <c r="A92" t="s">
        <v>170</v>
      </c>
      <c r="B92" t="s">
        <v>103</v>
      </c>
      <c r="C92" t="s">
        <v>122</v>
      </c>
      <c r="D92" s="9">
        <v>1585</v>
      </c>
      <c r="E92">
        <v>41.3</v>
      </c>
      <c r="F92" s="9">
        <f>D92*E92%</f>
        <v>654.60500000000002</v>
      </c>
      <c r="G92">
        <v>-7.0000000000000007E-2</v>
      </c>
      <c r="H92" s="9">
        <v>15.49</v>
      </c>
      <c r="I92" s="10">
        <f>H92/F92</f>
        <v>2.3663125090703552E-2</v>
      </c>
      <c r="K92"/>
    </row>
    <row r="93" spans="1:11" x14ac:dyDescent="0.3">
      <c r="A93" t="s">
        <v>172</v>
      </c>
      <c r="B93" t="s">
        <v>80</v>
      </c>
      <c r="C93" t="s">
        <v>173</v>
      </c>
      <c r="D93" s="9">
        <v>1533</v>
      </c>
      <c r="E93">
        <v>68.3</v>
      </c>
      <c r="F93" s="9">
        <f>D93*E93%</f>
        <v>1047.039</v>
      </c>
      <c r="G93">
        <v>9.36</v>
      </c>
      <c r="H93" s="9">
        <v>324.64</v>
      </c>
      <c r="I93" s="10">
        <f>H93/F93</f>
        <v>0.31005530835050077</v>
      </c>
    </row>
    <row r="94" spans="1:11" x14ac:dyDescent="0.3">
      <c r="A94" t="s">
        <v>187</v>
      </c>
      <c r="B94" t="s">
        <v>80</v>
      </c>
      <c r="C94" t="s">
        <v>158</v>
      </c>
      <c r="D94" s="9">
        <v>735</v>
      </c>
      <c r="E94">
        <v>61.3</v>
      </c>
      <c r="F94" s="9">
        <f>D94*E94%</f>
        <v>450.55500000000001</v>
      </c>
      <c r="G94">
        <v>4.1399999999999997</v>
      </c>
      <c r="H94" s="9">
        <v>41.49</v>
      </c>
      <c r="I94" s="10">
        <f>H94/F94</f>
        <v>9.2086426740353569E-2</v>
      </c>
    </row>
    <row r="95" spans="1:11" x14ac:dyDescent="0.3">
      <c r="A95" t="s">
        <v>191</v>
      </c>
      <c r="B95" t="s">
        <v>80</v>
      </c>
      <c r="C95" t="s">
        <v>192</v>
      </c>
      <c r="D95" s="9">
        <v>651</v>
      </c>
      <c r="E95">
        <v>40.700000000000003</v>
      </c>
      <c r="F95" s="9">
        <f>D95*E95%</f>
        <v>264.95699999999999</v>
      </c>
      <c r="G95">
        <v>14.51</v>
      </c>
      <c r="H95" s="9">
        <v>483.12</v>
      </c>
      <c r="I95" s="10">
        <f>H95/F95</f>
        <v>1.8233902104869848</v>
      </c>
    </row>
    <row r="96" spans="1:11" x14ac:dyDescent="0.3">
      <c r="A96" t="s">
        <v>219</v>
      </c>
      <c r="B96" t="s">
        <v>80</v>
      </c>
      <c r="C96" t="s">
        <v>220</v>
      </c>
      <c r="D96" s="9">
        <v>559</v>
      </c>
      <c r="E96">
        <v>59.4</v>
      </c>
      <c r="F96" s="9">
        <f>D96*E96%</f>
        <v>332.04599999999999</v>
      </c>
      <c r="G96">
        <v>1.43</v>
      </c>
      <c r="H96" s="9">
        <v>1.18</v>
      </c>
      <c r="I96" s="10">
        <f>H96/F96</f>
        <v>3.5537244839570418E-3</v>
      </c>
    </row>
    <row r="97" spans="1:11" x14ac:dyDescent="0.3">
      <c r="A97" t="s">
        <v>223</v>
      </c>
      <c r="B97" t="s">
        <v>80</v>
      </c>
      <c r="C97" t="s">
        <v>224</v>
      </c>
      <c r="D97" s="9">
        <v>568</v>
      </c>
      <c r="E97">
        <v>49.9</v>
      </c>
      <c r="F97" s="9">
        <f>D97*E97%</f>
        <v>283.43200000000002</v>
      </c>
      <c r="G97">
        <v>1.1100000000000001</v>
      </c>
      <c r="H97" s="9">
        <v>2.27</v>
      </c>
      <c r="I97" s="10">
        <f>H97/F97</f>
        <v>8.0089756978746224E-3</v>
      </c>
      <c r="J97" s="9">
        <v>3673</v>
      </c>
      <c r="K97" s="10">
        <f>J97/$L$2</f>
        <v>4.3318787592876516E-2</v>
      </c>
    </row>
    <row r="98" spans="1:11" x14ac:dyDescent="0.3">
      <c r="A98" t="s">
        <v>28</v>
      </c>
      <c r="B98" t="s">
        <v>29</v>
      </c>
      <c r="C98" t="s">
        <v>30</v>
      </c>
      <c r="D98" s="9">
        <v>41941</v>
      </c>
      <c r="E98">
        <v>20.2</v>
      </c>
      <c r="F98" s="9">
        <f>D98*E98%</f>
        <v>8472.0819999999985</v>
      </c>
      <c r="G98">
        <v>2.2599999999999998</v>
      </c>
      <c r="H98" s="9">
        <v>83.41</v>
      </c>
      <c r="I98" s="10">
        <f>H98/F98</f>
        <v>9.8452777015142212E-3</v>
      </c>
    </row>
    <row r="99" spans="1:11" x14ac:dyDescent="0.3">
      <c r="A99" t="s">
        <v>31</v>
      </c>
      <c r="B99" t="s">
        <v>29</v>
      </c>
      <c r="C99" t="s">
        <v>32</v>
      </c>
      <c r="D99" s="9">
        <v>37943</v>
      </c>
      <c r="E99">
        <v>40.799999999999997</v>
      </c>
      <c r="F99" s="9">
        <f>D99*E99%</f>
        <v>15480.743999999999</v>
      </c>
      <c r="G99">
        <v>1.24</v>
      </c>
      <c r="H99" s="9">
        <v>115.73</v>
      </c>
      <c r="I99" s="10">
        <f>H99/F99</f>
        <v>7.4757388921359346E-3</v>
      </c>
    </row>
    <row r="100" spans="1:11" x14ac:dyDescent="0.3">
      <c r="A100" t="s">
        <v>37</v>
      </c>
      <c r="B100" t="s">
        <v>29</v>
      </c>
      <c r="C100" t="s">
        <v>32</v>
      </c>
      <c r="D100" s="9">
        <v>30030</v>
      </c>
      <c r="E100">
        <v>51.3</v>
      </c>
      <c r="F100" s="9">
        <f>D100*E100%</f>
        <v>15405.390000000001</v>
      </c>
      <c r="G100">
        <v>5.14</v>
      </c>
      <c r="H100" s="9">
        <v>163.31</v>
      </c>
      <c r="I100" s="10">
        <f>H100/F100</f>
        <v>1.060083516223867E-2</v>
      </c>
    </row>
    <row r="101" spans="1:11" x14ac:dyDescent="0.3">
      <c r="A101" t="s">
        <v>61</v>
      </c>
      <c r="B101" t="s">
        <v>29</v>
      </c>
      <c r="C101" t="s">
        <v>62</v>
      </c>
      <c r="D101" s="9">
        <v>8617</v>
      </c>
      <c r="E101">
        <v>20.6</v>
      </c>
      <c r="F101" s="9">
        <f>D101*E101%</f>
        <v>1775.1020000000001</v>
      </c>
      <c r="G101">
        <v>3.29</v>
      </c>
      <c r="H101" s="9">
        <v>60.3</v>
      </c>
      <c r="I101" s="10">
        <f>H101/F101</f>
        <v>3.3969878914000433E-2</v>
      </c>
    </row>
    <row r="102" spans="1:11" x14ac:dyDescent="0.3">
      <c r="A102" t="s">
        <v>78</v>
      </c>
      <c r="B102" t="s">
        <v>29</v>
      </c>
      <c r="C102" t="s">
        <v>32</v>
      </c>
      <c r="D102" s="9">
        <v>8668</v>
      </c>
      <c r="E102">
        <v>52.7</v>
      </c>
      <c r="F102" s="9">
        <f>D102*E102%</f>
        <v>4568.0360000000001</v>
      </c>
      <c r="G102">
        <v>4.66</v>
      </c>
      <c r="H102" s="9">
        <v>326.89</v>
      </c>
      <c r="I102" s="10">
        <f>H102/F102</f>
        <v>7.1560294183320799E-2</v>
      </c>
    </row>
    <row r="103" spans="1:11" x14ac:dyDescent="0.3">
      <c r="A103" t="s">
        <v>82</v>
      </c>
      <c r="B103" t="s">
        <v>29</v>
      </c>
      <c r="C103" t="s">
        <v>83</v>
      </c>
      <c r="D103" s="9">
        <v>6444</v>
      </c>
      <c r="E103">
        <v>45.5</v>
      </c>
      <c r="F103" s="9">
        <f>D103*E103%</f>
        <v>2932.02</v>
      </c>
      <c r="G103">
        <v>4.1500000000000004</v>
      </c>
      <c r="H103" s="9">
        <v>1291.6199999999999</v>
      </c>
      <c r="I103" s="10">
        <f>H103/F103</f>
        <v>0.44052223381832317</v>
      </c>
    </row>
    <row r="104" spans="1:11" x14ac:dyDescent="0.3">
      <c r="A104" t="s">
        <v>84</v>
      </c>
      <c r="B104" t="s">
        <v>29</v>
      </c>
      <c r="C104" t="s">
        <v>83</v>
      </c>
      <c r="D104" s="9">
        <v>10458</v>
      </c>
      <c r="E104">
        <v>21</v>
      </c>
      <c r="F104" s="9">
        <f>D104*E104%</f>
        <v>2196.1799999999998</v>
      </c>
      <c r="G104">
        <v>29.87</v>
      </c>
      <c r="H104" s="9">
        <v>1234.7</v>
      </c>
      <c r="I104" s="10">
        <f>H104/F104</f>
        <v>0.5622034623755795</v>
      </c>
    </row>
    <row r="105" spans="1:11" hidden="1" x14ac:dyDescent="0.3">
      <c r="A105" t="s">
        <v>190</v>
      </c>
      <c r="B105" t="s">
        <v>34</v>
      </c>
      <c r="C105" t="s">
        <v>34</v>
      </c>
      <c r="D105" s="9">
        <v>662</v>
      </c>
      <c r="E105">
        <v>43.2</v>
      </c>
      <c r="F105" s="9">
        <f>D105*E105%</f>
        <v>285.98400000000004</v>
      </c>
      <c r="G105">
        <v>-0.68</v>
      </c>
      <c r="H105" s="9">
        <v>4.3499999999999996</v>
      </c>
      <c r="I105" s="10">
        <f>H105/F105</f>
        <v>1.5210641154749913E-2</v>
      </c>
      <c r="K105"/>
    </row>
    <row r="106" spans="1:11" x14ac:dyDescent="0.3">
      <c r="A106" t="s">
        <v>91</v>
      </c>
      <c r="B106" t="s">
        <v>29</v>
      </c>
      <c r="C106" t="s">
        <v>32</v>
      </c>
      <c r="D106" s="9">
        <v>5994</v>
      </c>
      <c r="E106">
        <v>14.2</v>
      </c>
      <c r="F106" s="9">
        <f>D106*E106%</f>
        <v>851.14799999999991</v>
      </c>
      <c r="G106">
        <v>1.74</v>
      </c>
      <c r="H106" s="9">
        <v>7.69</v>
      </c>
      <c r="I106" s="10">
        <f>H106/F106</f>
        <v>9.0348564526968305E-3</v>
      </c>
    </row>
    <row r="107" spans="1:11" x14ac:dyDescent="0.3">
      <c r="A107" t="s">
        <v>92</v>
      </c>
      <c r="B107" t="s">
        <v>29</v>
      </c>
      <c r="C107" t="s">
        <v>30</v>
      </c>
      <c r="D107" s="9">
        <v>5771</v>
      </c>
      <c r="E107">
        <v>61.8</v>
      </c>
      <c r="F107" s="9">
        <f>D107*E107%</f>
        <v>3566.4780000000001</v>
      </c>
      <c r="G107">
        <v>9.0500000000000007</v>
      </c>
      <c r="H107" s="9">
        <v>862.7</v>
      </c>
      <c r="I107" s="10">
        <f>H107/F107</f>
        <v>0.24189130004446965</v>
      </c>
    </row>
    <row r="108" spans="1:11" x14ac:dyDescent="0.3">
      <c r="A108" t="s">
        <v>108</v>
      </c>
      <c r="B108" t="s">
        <v>29</v>
      </c>
      <c r="C108" t="s">
        <v>32</v>
      </c>
      <c r="D108" s="9">
        <v>3041</v>
      </c>
      <c r="E108">
        <v>54.2</v>
      </c>
      <c r="F108" s="9">
        <f>D108*E108%</f>
        <v>1648.2220000000002</v>
      </c>
      <c r="G108">
        <v>3.68</v>
      </c>
      <c r="H108" s="9">
        <v>17.86</v>
      </c>
      <c r="I108" s="10">
        <f>H108/F108</f>
        <v>1.083591894781164E-2</v>
      </c>
    </row>
    <row r="109" spans="1:11" x14ac:dyDescent="0.3">
      <c r="A109" t="s">
        <v>161</v>
      </c>
      <c r="B109" t="s">
        <v>29</v>
      </c>
      <c r="C109" t="s">
        <v>30</v>
      </c>
      <c r="D109" s="9">
        <v>1536</v>
      </c>
      <c r="E109">
        <v>62.4</v>
      </c>
      <c r="F109" s="9">
        <f>D109*E109%</f>
        <v>958.46399999999994</v>
      </c>
      <c r="G109">
        <v>2.2400000000000002</v>
      </c>
      <c r="H109" s="9">
        <v>24.1</v>
      </c>
      <c r="I109" s="10">
        <f>H109/F109</f>
        <v>2.5144397702991456E-2</v>
      </c>
    </row>
    <row r="110" spans="1:11" x14ac:dyDescent="0.3">
      <c r="A110" t="s">
        <v>177</v>
      </c>
      <c r="B110" t="s">
        <v>29</v>
      </c>
      <c r="C110" t="s">
        <v>83</v>
      </c>
      <c r="D110" s="9">
        <v>956</v>
      </c>
      <c r="E110">
        <v>64.8</v>
      </c>
      <c r="F110" s="9">
        <f>D110*E110%</f>
        <v>619.48800000000006</v>
      </c>
      <c r="G110">
        <v>3.8</v>
      </c>
      <c r="H110" s="9">
        <v>7.93</v>
      </c>
      <c r="I110" s="10">
        <f>H110/F110</f>
        <v>1.2800893641200474E-2</v>
      </c>
    </row>
    <row r="111" spans="1:11" x14ac:dyDescent="0.3">
      <c r="A111" t="s">
        <v>186</v>
      </c>
      <c r="B111" t="s">
        <v>29</v>
      </c>
      <c r="C111" t="s">
        <v>32</v>
      </c>
      <c r="D111" s="9">
        <v>848</v>
      </c>
      <c r="E111">
        <v>31.9</v>
      </c>
      <c r="F111" s="9">
        <f>D111*E111%</f>
        <v>270.512</v>
      </c>
      <c r="G111">
        <v>1.82</v>
      </c>
      <c r="H111" s="9">
        <v>1.62</v>
      </c>
      <c r="I111" s="10">
        <f>H111/F111</f>
        <v>5.9886437570237181E-3</v>
      </c>
    </row>
    <row r="112" spans="1:11" x14ac:dyDescent="0.3">
      <c r="A112" t="s">
        <v>209</v>
      </c>
      <c r="B112" t="s">
        <v>29</v>
      </c>
      <c r="C112" t="s">
        <v>83</v>
      </c>
      <c r="D112" s="9">
        <v>1946</v>
      </c>
      <c r="E112">
        <v>50</v>
      </c>
      <c r="F112" s="9">
        <f>D112*E112%</f>
        <v>973</v>
      </c>
      <c r="G112">
        <v>0.85</v>
      </c>
      <c r="H112" s="9">
        <v>9.1199999999999992</v>
      </c>
      <c r="I112" s="10">
        <f>H112/F112</f>
        <v>9.373072970195271E-3</v>
      </c>
    </row>
    <row r="113" spans="1:11" x14ac:dyDescent="0.3">
      <c r="A113" t="s">
        <v>211</v>
      </c>
      <c r="B113" t="s">
        <v>29</v>
      </c>
      <c r="C113" t="s">
        <v>30</v>
      </c>
      <c r="D113" s="9">
        <v>559</v>
      </c>
      <c r="E113">
        <v>61</v>
      </c>
      <c r="F113" s="9">
        <f>D113*E113%</f>
        <v>340.99</v>
      </c>
      <c r="G113">
        <v>2.82</v>
      </c>
      <c r="H113" s="9">
        <v>2.93</v>
      </c>
      <c r="I113" s="10">
        <f>H113/F113</f>
        <v>8.5926273497756531E-3</v>
      </c>
      <c r="J113" s="9">
        <v>4210</v>
      </c>
      <c r="K113" s="10">
        <f>J113/$L$2</f>
        <v>4.9652081613397805E-2</v>
      </c>
    </row>
    <row r="114" spans="1:11" x14ac:dyDescent="0.3">
      <c r="A114" t="s">
        <v>126</v>
      </c>
      <c r="B114" t="s">
        <v>74</v>
      </c>
      <c r="C114" t="s">
        <v>127</v>
      </c>
      <c r="D114" s="9">
        <v>1874</v>
      </c>
      <c r="E114">
        <v>52</v>
      </c>
      <c r="F114" s="9">
        <f>D114*E114%</f>
        <v>974.48</v>
      </c>
      <c r="G114">
        <v>2.57</v>
      </c>
      <c r="H114" s="9">
        <v>17.32</v>
      </c>
      <c r="I114" s="10">
        <f>H114/F114</f>
        <v>1.7773581807733356E-2</v>
      </c>
    </row>
    <row r="115" spans="1:11" x14ac:dyDescent="0.3">
      <c r="A115" t="s">
        <v>151</v>
      </c>
      <c r="B115" t="s">
        <v>74</v>
      </c>
      <c r="C115" t="s">
        <v>152</v>
      </c>
      <c r="D115" s="9">
        <v>2330</v>
      </c>
      <c r="E115">
        <v>48.2</v>
      </c>
      <c r="F115" s="9">
        <f>D115*E115%</f>
        <v>1123.0600000000002</v>
      </c>
      <c r="G115">
        <v>2.46</v>
      </c>
      <c r="H115" s="9">
        <v>1312.09</v>
      </c>
      <c r="I115" s="10">
        <f>H115/F115</f>
        <v>1.1683169198439973</v>
      </c>
    </row>
    <row r="116" spans="1:11" x14ac:dyDescent="0.3">
      <c r="A116" t="s">
        <v>193</v>
      </c>
      <c r="B116" t="s">
        <v>74</v>
      </c>
      <c r="C116" t="s">
        <v>194</v>
      </c>
      <c r="D116" s="9">
        <v>656</v>
      </c>
      <c r="E116">
        <v>40.9</v>
      </c>
      <c r="F116" s="9">
        <f>D116*E116%</f>
        <v>268.30399999999997</v>
      </c>
      <c r="G116">
        <v>4.54</v>
      </c>
      <c r="H116" s="9">
        <v>11.34</v>
      </c>
      <c r="I116" s="10">
        <f>H116/F116</f>
        <v>4.2265489892062739E-2</v>
      </c>
    </row>
    <row r="117" spans="1:11" x14ac:dyDescent="0.3">
      <c r="A117" t="s">
        <v>134</v>
      </c>
      <c r="B117" t="s">
        <v>26</v>
      </c>
      <c r="C117" t="s">
        <v>27</v>
      </c>
      <c r="D117" s="9">
        <v>5529</v>
      </c>
      <c r="E117">
        <v>63.3</v>
      </c>
      <c r="F117" s="9">
        <f>D117*E117%</f>
        <v>3499.857</v>
      </c>
      <c r="G117">
        <v>23.23</v>
      </c>
      <c r="H117" s="9">
        <v>1801</v>
      </c>
      <c r="I117" s="10">
        <f>H117/F117</f>
        <v>0.51459245334880821</v>
      </c>
    </row>
    <row r="118" spans="1:11" x14ac:dyDescent="0.3">
      <c r="A118" t="s">
        <v>182</v>
      </c>
      <c r="B118" t="s">
        <v>26</v>
      </c>
      <c r="C118" t="s">
        <v>183</v>
      </c>
      <c r="D118" s="9">
        <v>1225</v>
      </c>
      <c r="E118">
        <v>79.099999999999994</v>
      </c>
      <c r="F118" s="9">
        <f>D118*E118%</f>
        <v>968.97499999999991</v>
      </c>
      <c r="G118">
        <v>8.73</v>
      </c>
      <c r="H118" s="9">
        <v>1248.72</v>
      </c>
      <c r="I118" s="10">
        <f>H118/F118</f>
        <v>1.2887019788952245</v>
      </c>
    </row>
    <row r="119" spans="1:11" x14ac:dyDescent="0.3">
      <c r="A119" t="s">
        <v>228</v>
      </c>
      <c r="B119" t="s">
        <v>26</v>
      </c>
      <c r="C119" t="s">
        <v>27</v>
      </c>
      <c r="D119" s="9">
        <v>1399</v>
      </c>
      <c r="E119">
        <v>71.599999999999994</v>
      </c>
      <c r="F119" s="9">
        <f>D119*E119%</f>
        <v>1001.684</v>
      </c>
      <c r="G119">
        <v>5.79</v>
      </c>
      <c r="H119" s="9">
        <v>12.5</v>
      </c>
      <c r="I119" s="10">
        <f>H119/F119</f>
        <v>1.2478985388605588E-2</v>
      </c>
    </row>
    <row r="120" spans="1:11" hidden="1" x14ac:dyDescent="0.3">
      <c r="A120" t="s">
        <v>214</v>
      </c>
      <c r="B120" t="s">
        <v>198</v>
      </c>
      <c r="C120" t="s">
        <v>199</v>
      </c>
      <c r="D120" s="9">
        <v>623</v>
      </c>
      <c r="E120">
        <v>57.2</v>
      </c>
      <c r="F120" s="9">
        <f>D120*E120%</f>
        <v>356.35600000000005</v>
      </c>
      <c r="G120">
        <v>-0.28999999999999998</v>
      </c>
      <c r="H120" s="9">
        <v>4.3600000000000003</v>
      </c>
      <c r="I120" s="10">
        <f>H120/F120</f>
        <v>1.2234956055180773E-2</v>
      </c>
      <c r="K120"/>
    </row>
    <row r="121" spans="1:11" x14ac:dyDescent="0.3">
      <c r="A121" t="s">
        <v>233</v>
      </c>
      <c r="B121" t="s">
        <v>26</v>
      </c>
      <c r="C121" t="s">
        <v>234</v>
      </c>
      <c r="D121" s="9">
        <v>332</v>
      </c>
      <c r="E121">
        <v>48.6</v>
      </c>
      <c r="F121" s="9">
        <f>D121*E121%</f>
        <v>161.352</v>
      </c>
      <c r="G121">
        <v>4.1399999999999997</v>
      </c>
      <c r="H121" s="9">
        <v>3.24</v>
      </c>
      <c r="I121" s="10">
        <f>H121/F121</f>
        <v>2.0080321285140562E-2</v>
      </c>
      <c r="J121" s="9">
        <v>3065</v>
      </c>
      <c r="K121" s="10">
        <f>J121/$L$2</f>
        <v>3.6148130675787239E-2</v>
      </c>
    </row>
    <row r="122" spans="1:11" x14ac:dyDescent="0.3">
      <c r="A122" t="s">
        <v>58</v>
      </c>
      <c r="B122" t="s">
        <v>59</v>
      </c>
      <c r="C122" t="s">
        <v>60</v>
      </c>
      <c r="D122" s="9">
        <v>10903</v>
      </c>
      <c r="E122">
        <v>48.8</v>
      </c>
      <c r="F122" s="9">
        <f>D122*E122%</f>
        <v>5320.6639999999998</v>
      </c>
      <c r="G122">
        <v>8.48</v>
      </c>
      <c r="H122" s="9">
        <v>168.86</v>
      </c>
      <c r="I122" s="10">
        <f>H122/F122</f>
        <v>3.1736640389244654E-2</v>
      </c>
    </row>
    <row r="123" spans="1:11" hidden="1" x14ac:dyDescent="0.3">
      <c r="A123" t="s">
        <v>218</v>
      </c>
      <c r="B123" t="s">
        <v>80</v>
      </c>
      <c r="C123" t="s">
        <v>80</v>
      </c>
      <c r="D123" s="9">
        <v>1210</v>
      </c>
      <c r="E123">
        <v>58.5</v>
      </c>
      <c r="F123" s="9">
        <f>D123*E123%</f>
        <v>707.84999999999991</v>
      </c>
      <c r="G123">
        <v>-3.36</v>
      </c>
      <c r="H123" s="9">
        <v>109.33</v>
      </c>
      <c r="I123" s="10">
        <f>H123/F123</f>
        <v>0.15445362718089992</v>
      </c>
      <c r="K123"/>
    </row>
    <row r="124" spans="1:11" x14ac:dyDescent="0.3">
      <c r="A124" t="s">
        <v>71</v>
      </c>
      <c r="B124" t="s">
        <v>59</v>
      </c>
      <c r="C124" t="s">
        <v>72</v>
      </c>
      <c r="D124" s="9">
        <v>6323</v>
      </c>
      <c r="E124">
        <v>53.6</v>
      </c>
      <c r="F124" s="9">
        <f>D124*E124%</f>
        <v>3389.1280000000002</v>
      </c>
      <c r="G124">
        <v>0.48</v>
      </c>
      <c r="H124" s="9">
        <v>17.579999999999998</v>
      </c>
      <c r="I124" s="10">
        <f>H124/F124</f>
        <v>5.1871749901449566E-3</v>
      </c>
    </row>
    <row r="125" spans="1:11" x14ac:dyDescent="0.3">
      <c r="A125" t="s">
        <v>145</v>
      </c>
      <c r="B125" t="s">
        <v>59</v>
      </c>
      <c r="C125" t="s">
        <v>60</v>
      </c>
      <c r="D125" s="9">
        <v>2808</v>
      </c>
      <c r="E125">
        <v>23.3</v>
      </c>
      <c r="F125" s="9">
        <f>D125*E125%</f>
        <v>654.26400000000001</v>
      </c>
      <c r="G125">
        <v>2.85</v>
      </c>
      <c r="H125" s="9">
        <v>742.98</v>
      </c>
      <c r="I125" s="10">
        <f>H125/F125</f>
        <v>1.1355966398884854</v>
      </c>
    </row>
    <row r="126" spans="1:11" x14ac:dyDescent="0.3">
      <c r="A126" t="s">
        <v>165</v>
      </c>
      <c r="B126" t="s">
        <v>59</v>
      </c>
      <c r="C126" t="s">
        <v>166</v>
      </c>
      <c r="D126" s="9">
        <v>1889</v>
      </c>
      <c r="E126">
        <v>62.9</v>
      </c>
      <c r="F126" s="9">
        <f>D126*E126%</f>
        <v>1188.181</v>
      </c>
      <c r="G126">
        <v>4.37</v>
      </c>
      <c r="H126" s="9">
        <v>211.62</v>
      </c>
      <c r="I126" s="10">
        <f>H126/F126</f>
        <v>0.17810417773049728</v>
      </c>
    </row>
    <row r="127" spans="1:11" x14ac:dyDescent="0.3">
      <c r="A127" t="s">
        <v>167</v>
      </c>
      <c r="B127" t="s">
        <v>59</v>
      </c>
      <c r="C127" t="s">
        <v>166</v>
      </c>
      <c r="D127" s="9">
        <v>1743</v>
      </c>
      <c r="E127">
        <v>78.599999999999994</v>
      </c>
      <c r="F127" s="9">
        <f>D127*E127%</f>
        <v>1369.9979999999998</v>
      </c>
      <c r="G127">
        <v>16.510000000000002</v>
      </c>
      <c r="H127" s="9">
        <v>463.79</v>
      </c>
      <c r="I127" s="10">
        <f>H127/F127</f>
        <v>0.33853334092458537</v>
      </c>
    </row>
    <row r="128" spans="1:11" x14ac:dyDescent="0.3">
      <c r="A128" t="s">
        <v>188</v>
      </c>
      <c r="B128" t="s">
        <v>59</v>
      </c>
      <c r="C128" t="s">
        <v>60</v>
      </c>
      <c r="D128" s="9">
        <v>1035</v>
      </c>
      <c r="E128">
        <v>63.3</v>
      </c>
      <c r="F128" s="9">
        <f>D128*E128%</f>
        <v>655.15499999999997</v>
      </c>
      <c r="G128">
        <v>1.68</v>
      </c>
      <c r="H128" s="9">
        <v>4.1500000000000004</v>
      </c>
      <c r="I128" s="10">
        <f>H128/F128</f>
        <v>6.3343788874388515E-3</v>
      </c>
    </row>
    <row r="129" spans="1:11" x14ac:dyDescent="0.3">
      <c r="A129" t="s">
        <v>215</v>
      </c>
      <c r="B129" t="s">
        <v>59</v>
      </c>
      <c r="C129" t="s">
        <v>60</v>
      </c>
      <c r="D129" s="9">
        <v>896</v>
      </c>
      <c r="E129">
        <v>33.299999999999997</v>
      </c>
      <c r="F129" s="9">
        <f>D129*E129%</f>
        <v>298.36799999999994</v>
      </c>
      <c r="G129">
        <v>3.89</v>
      </c>
      <c r="H129" s="9">
        <v>37.119999999999997</v>
      </c>
      <c r="I129" s="10">
        <f>H129/F129</f>
        <v>0.12441012441012443</v>
      </c>
    </row>
    <row r="130" spans="1:11" x14ac:dyDescent="0.3">
      <c r="A130" t="s">
        <v>216</v>
      </c>
      <c r="B130" t="s">
        <v>59</v>
      </c>
      <c r="C130" t="s">
        <v>217</v>
      </c>
      <c r="D130" s="9">
        <v>526</v>
      </c>
      <c r="E130">
        <v>81.2</v>
      </c>
      <c r="F130" s="9">
        <f>D130*E130%</f>
        <v>427.11200000000002</v>
      </c>
      <c r="G130">
        <v>8.61</v>
      </c>
      <c r="H130" s="9">
        <v>187.57</v>
      </c>
      <c r="I130" s="10">
        <f>H130/F130</f>
        <v>0.43915881548633612</v>
      </c>
    </row>
    <row r="131" spans="1:11" x14ac:dyDescent="0.3">
      <c r="A131" t="s">
        <v>52</v>
      </c>
      <c r="B131" t="s">
        <v>53</v>
      </c>
      <c r="C131" t="s">
        <v>54</v>
      </c>
      <c r="D131" s="9">
        <v>45737</v>
      </c>
      <c r="E131">
        <v>73.5</v>
      </c>
      <c r="F131" s="9">
        <f>D131*E131%</f>
        <v>33616.695</v>
      </c>
      <c r="G131">
        <v>29.85</v>
      </c>
      <c r="H131" s="9">
        <v>6275.42</v>
      </c>
      <c r="I131" s="10">
        <f>H131/F131</f>
        <v>0.18667569789356153</v>
      </c>
    </row>
    <row r="132" spans="1:11" x14ac:dyDescent="0.3">
      <c r="A132" t="s">
        <v>98</v>
      </c>
      <c r="B132" t="s">
        <v>53</v>
      </c>
      <c r="C132" t="s">
        <v>99</v>
      </c>
      <c r="D132" s="9">
        <v>4559</v>
      </c>
      <c r="E132">
        <v>48.4</v>
      </c>
      <c r="F132" s="9">
        <f>D132*E132%</f>
        <v>2206.556</v>
      </c>
      <c r="G132">
        <v>13.53</v>
      </c>
      <c r="H132" s="9">
        <v>844.65</v>
      </c>
      <c r="I132" s="10">
        <f>H132/F132</f>
        <v>0.38279110070172701</v>
      </c>
    </row>
    <row r="133" spans="1:11" x14ac:dyDescent="0.3">
      <c r="A133" t="s">
        <v>100</v>
      </c>
      <c r="B133" t="s">
        <v>53</v>
      </c>
      <c r="C133" t="s">
        <v>101</v>
      </c>
      <c r="D133" s="9">
        <v>5086</v>
      </c>
      <c r="E133">
        <v>37.799999999999997</v>
      </c>
      <c r="F133" s="9">
        <f>D133*E133%</f>
        <v>1922.5079999999998</v>
      </c>
      <c r="G133">
        <v>16.03</v>
      </c>
      <c r="H133" s="9">
        <v>685.72</v>
      </c>
      <c r="I133" s="10">
        <f>H133/F133</f>
        <v>0.35667992018758837</v>
      </c>
    </row>
    <row r="134" spans="1:11" x14ac:dyDescent="0.3">
      <c r="A134" t="s">
        <v>124</v>
      </c>
      <c r="B134" t="s">
        <v>53</v>
      </c>
      <c r="C134" t="s">
        <v>125</v>
      </c>
      <c r="D134" s="9">
        <v>1308</v>
      </c>
      <c r="E134">
        <v>72.5</v>
      </c>
      <c r="F134" s="9">
        <f>D134*E134%</f>
        <v>948.3</v>
      </c>
      <c r="G134">
        <v>7.7</v>
      </c>
      <c r="H134" s="9">
        <v>19.37</v>
      </c>
      <c r="I134" s="10">
        <f>H134/F134</f>
        <v>2.0426025519350417E-2</v>
      </c>
    </row>
    <row r="135" spans="1:11" x14ac:dyDescent="0.3">
      <c r="A135" t="s">
        <v>146</v>
      </c>
      <c r="B135" t="s">
        <v>53</v>
      </c>
      <c r="C135" t="s">
        <v>125</v>
      </c>
      <c r="D135" s="9">
        <v>2267</v>
      </c>
      <c r="E135">
        <v>73.8</v>
      </c>
      <c r="F135" s="9">
        <f>D135*E135%</f>
        <v>1673.046</v>
      </c>
      <c r="G135">
        <v>4.28</v>
      </c>
      <c r="H135" s="9">
        <v>16.14</v>
      </c>
      <c r="I135" s="10">
        <f>H135/F135</f>
        <v>9.6470748562801027E-3</v>
      </c>
    </row>
    <row r="136" spans="1:11" x14ac:dyDescent="0.3">
      <c r="A136" t="s">
        <v>149</v>
      </c>
      <c r="B136" t="s">
        <v>53</v>
      </c>
      <c r="C136" t="s">
        <v>125</v>
      </c>
      <c r="D136" s="9">
        <v>2779</v>
      </c>
      <c r="E136">
        <v>77.5</v>
      </c>
      <c r="F136" s="9">
        <f>D136*E136%</f>
        <v>2153.7249999999999</v>
      </c>
      <c r="G136">
        <v>5.5</v>
      </c>
      <c r="H136" s="9">
        <v>158.27000000000001</v>
      </c>
      <c r="I136" s="10">
        <f>H136/F136</f>
        <v>7.3486633623141312E-2</v>
      </c>
    </row>
    <row r="137" spans="1:11" x14ac:dyDescent="0.3">
      <c r="A137" t="s">
        <v>153</v>
      </c>
      <c r="B137" t="s">
        <v>53</v>
      </c>
      <c r="C137" t="s">
        <v>125</v>
      </c>
      <c r="D137" s="9">
        <v>1571</v>
      </c>
      <c r="E137">
        <v>52.5</v>
      </c>
      <c r="F137" s="9">
        <f>D137*E137%</f>
        <v>824.77500000000009</v>
      </c>
      <c r="G137">
        <v>5.37</v>
      </c>
      <c r="H137" s="9">
        <v>19.14</v>
      </c>
      <c r="I137" s="10">
        <f>H137/F137</f>
        <v>2.3206328998817857E-2</v>
      </c>
    </row>
    <row r="138" spans="1:11" x14ac:dyDescent="0.3">
      <c r="A138" t="s">
        <v>195</v>
      </c>
      <c r="B138" t="s">
        <v>53</v>
      </c>
      <c r="C138" t="s">
        <v>196</v>
      </c>
      <c r="D138" s="9">
        <v>1173</v>
      </c>
      <c r="E138">
        <v>79.5</v>
      </c>
      <c r="F138" s="9">
        <f>D138*E138%</f>
        <v>932.53500000000008</v>
      </c>
      <c r="G138">
        <v>7.89</v>
      </c>
      <c r="H138" s="9">
        <v>388.69</v>
      </c>
      <c r="I138" s="10">
        <f>H138/F138</f>
        <v>0.41681009291876442</v>
      </c>
    </row>
    <row r="139" spans="1:11" x14ac:dyDescent="0.3">
      <c r="A139" t="s">
        <v>201</v>
      </c>
      <c r="B139" t="s">
        <v>53</v>
      </c>
      <c r="C139" t="s">
        <v>202</v>
      </c>
      <c r="D139" s="9">
        <v>1854</v>
      </c>
      <c r="E139">
        <v>38.200000000000003</v>
      </c>
      <c r="F139" s="9">
        <f>D139*E139%</f>
        <v>708.22800000000007</v>
      </c>
      <c r="G139">
        <v>12.91</v>
      </c>
      <c r="H139" s="9">
        <v>1268.69</v>
      </c>
      <c r="I139" s="10">
        <f>H139/F139</f>
        <v>1.7913581502002178</v>
      </c>
    </row>
    <row r="140" spans="1:11" x14ac:dyDescent="0.3">
      <c r="A140" t="s">
        <v>239</v>
      </c>
      <c r="B140" t="s">
        <v>53</v>
      </c>
      <c r="C140" t="s">
        <v>54</v>
      </c>
      <c r="D140" s="9">
        <v>144524</v>
      </c>
      <c r="E140">
        <v>16.899999999999999</v>
      </c>
      <c r="F140" s="9">
        <f>D140*E140%</f>
        <v>24424.555999999997</v>
      </c>
      <c r="G140">
        <v>21.87</v>
      </c>
      <c r="H140" s="9">
        <v>6762.35</v>
      </c>
      <c r="I140" s="10">
        <f>H140/F140</f>
        <v>0.27686685481611217</v>
      </c>
      <c r="J140" s="9">
        <v>16438</v>
      </c>
      <c r="K140" s="10">
        <f>J140/$L$2</f>
        <v>0.19386720132091048</v>
      </c>
    </row>
  </sheetData>
  <autoFilter ref="A1:I140">
    <filterColumn colId="6">
      <customFilters>
        <customFilter operator="greaterThanOrEqual" val="0"/>
      </customFilters>
    </filterColumn>
    <sortState ref="A2:I140">
      <sortCondition descending="1" ref="B1:B140"/>
    </sortState>
  </autoFilter>
  <phoneticPr fontId="18" type="noConversion"/>
  <conditionalFormatting sqref="I1">
    <cfRule type="top10" dxfId="13" priority="15" percent="1" rank="30"/>
  </conditionalFormatting>
  <conditionalFormatting sqref="I1">
    <cfRule type="top10" dxfId="12" priority="14" percent="1" rank="30"/>
  </conditionalFormatting>
  <conditionalFormatting sqref="I1">
    <cfRule type="top10" dxfId="11" priority="13" percent="1" rank="30"/>
  </conditionalFormatting>
  <conditionalFormatting sqref="I1">
    <cfRule type="top10" dxfId="10" priority="11" percent="1" rank="30"/>
    <cfRule type="top10" dxfId="9" priority="12" percent="1" rank="30"/>
  </conditionalFormatting>
  <conditionalFormatting sqref="I1">
    <cfRule type="top10" dxfId="8" priority="10" percent="1" rank="30"/>
  </conditionalFormatting>
  <conditionalFormatting sqref="I1">
    <cfRule type="top10" dxfId="7" priority="9" percent="1" rank="30"/>
  </conditionalFormatting>
  <conditionalFormatting sqref="I1">
    <cfRule type="top10" dxfId="6" priority="8" percent="1" rank="30"/>
  </conditionalFormatting>
  <conditionalFormatting sqref="I1">
    <cfRule type="top10" dxfId="5" priority="7" percent="1" rank="30"/>
  </conditionalFormatting>
  <conditionalFormatting sqref="I1">
    <cfRule type="top10" dxfId="4" priority="6" percent="1" rank="30"/>
  </conditionalFormatting>
  <conditionalFormatting sqref="I1">
    <cfRule type="top10" dxfId="3" priority="5" percent="1" rank="30"/>
  </conditionalFormatting>
  <conditionalFormatting sqref="I1">
    <cfRule type="top10" dxfId="2" priority="4" percent="1" rank="30"/>
  </conditionalFormatting>
  <conditionalFormatting sqref="O2:O30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{762FD1F1-CDB6-4804-84DB-ACFA372F1AA5}</x14:id>
        </ext>
      </extLst>
    </cfRule>
  </conditionalFormatting>
  <conditionalFormatting sqref="I2:I140">
    <cfRule type="top10" dxfId="1" priority="2" percent="1" rank="30"/>
  </conditionalFormatting>
  <conditionalFormatting sqref="I2:I140">
    <cfRule type="top10" dxfId="0" priority="1" percent="1" rank="30"/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62FD1F1-CDB6-4804-84DB-ACFA372F1AA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O2:O30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20240214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2024-02-13T20:14:28Z</dcterms:created>
  <dcterms:modified xsi:type="dcterms:W3CDTF">2024-02-13T20:15:36Z</dcterms:modified>
</cp:coreProperties>
</file>