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P\트레이더용 퀀트\"/>
    </mc:Choice>
  </mc:AlternateContent>
  <xr:revisionPtr revIDLastSave="0" documentId="13_ncr:40009_{EFC99275-17B4-4B78-BAE0-B6EA1C2D72EC}" xr6:coauthVersionLast="44" xr6:coauthVersionMax="44" xr10:uidLastSave="{00000000-0000-0000-0000-000000000000}"/>
  <bookViews>
    <workbookView xWindow="-28920" yWindow="-120" windowWidth="29040" windowHeight="16440"/>
  </bookViews>
  <sheets>
    <sheet name="20240210" sheetId="1" r:id="rId1"/>
  </sheets>
  <definedNames>
    <definedName name="_xlnm._FilterDatabase" localSheetId="0" hidden="1">'20240210'!$A$1:$I$96</definedName>
  </definedNames>
  <calcPr calcId="0"/>
</workbook>
</file>

<file path=xl/calcChain.xml><?xml version="1.0" encoding="utf-8"?>
<calcChain xmlns="http://schemas.openxmlformats.org/spreadsheetml/2006/main">
  <c r="K96" i="1" l="1"/>
  <c r="K70" i="1"/>
  <c r="K57" i="1"/>
  <c r="K54" i="1"/>
  <c r="I35" i="1"/>
  <c r="I20" i="1"/>
  <c r="I25" i="1"/>
  <c r="I5" i="1"/>
  <c r="I70" i="1"/>
  <c r="I47" i="1"/>
  <c r="I49" i="1"/>
  <c r="I51" i="1"/>
  <c r="I16" i="1"/>
  <c r="I77" i="1"/>
  <c r="I7" i="1"/>
  <c r="I86" i="1"/>
  <c r="I80" i="1"/>
  <c r="I3" i="1"/>
  <c r="I84" i="1"/>
  <c r="I36" i="1"/>
  <c r="I65" i="1"/>
  <c r="F71" i="1"/>
  <c r="I71" i="1" s="1"/>
  <c r="F58" i="1"/>
  <c r="I58" i="1" s="1"/>
  <c r="F78" i="1"/>
  <c r="I78" i="1" s="1"/>
  <c r="F55" i="1"/>
  <c r="I55" i="1" s="1"/>
  <c r="F72" i="1"/>
  <c r="I72" i="1" s="1"/>
  <c r="F66" i="1"/>
  <c r="I66" i="1" s="1"/>
  <c r="F37" i="1"/>
  <c r="I37" i="1" s="1"/>
  <c r="F8" i="1"/>
  <c r="I8" i="1" s="1"/>
  <c r="F11" i="1"/>
  <c r="I11" i="1" s="1"/>
  <c r="F9" i="1"/>
  <c r="I9" i="1" s="1"/>
  <c r="F73" i="1"/>
  <c r="I73" i="1" s="1"/>
  <c r="F35" i="1"/>
  <c r="F93" i="1"/>
  <c r="I93" i="1" s="1"/>
  <c r="F56" i="1"/>
  <c r="I56" i="1" s="1"/>
  <c r="F17" i="1"/>
  <c r="I17" i="1" s="1"/>
  <c r="F18" i="1"/>
  <c r="I18" i="1" s="1"/>
  <c r="F44" i="1"/>
  <c r="I44" i="1" s="1"/>
  <c r="F45" i="1"/>
  <c r="I45" i="1" s="1"/>
  <c r="F30" i="1"/>
  <c r="I30" i="1" s="1"/>
  <c r="F24" i="1"/>
  <c r="I24" i="1" s="1"/>
  <c r="F20" i="1"/>
  <c r="F25" i="1"/>
  <c r="F5" i="1"/>
  <c r="F74" i="1"/>
  <c r="I74" i="1" s="1"/>
  <c r="F27" i="1"/>
  <c r="I27" i="1" s="1"/>
  <c r="F67" i="1"/>
  <c r="I67" i="1" s="1"/>
  <c r="F6" i="1"/>
  <c r="I6" i="1" s="1"/>
  <c r="F33" i="1"/>
  <c r="I33" i="1" s="1"/>
  <c r="F31" i="1"/>
  <c r="I31" i="1" s="1"/>
  <c r="F39" i="1"/>
  <c r="I39" i="1" s="1"/>
  <c r="F38" i="1"/>
  <c r="I38" i="1" s="1"/>
  <c r="F75" i="1"/>
  <c r="I75" i="1" s="1"/>
  <c r="F46" i="1"/>
  <c r="I46" i="1" s="1"/>
  <c r="F70" i="1"/>
  <c r="F23" i="1"/>
  <c r="I23" i="1" s="1"/>
  <c r="F47" i="1"/>
  <c r="F94" i="1"/>
  <c r="I94" i="1" s="1"/>
  <c r="F32" i="1"/>
  <c r="I32" i="1" s="1"/>
  <c r="F10" i="1"/>
  <c r="I10" i="1" s="1"/>
  <c r="F2" i="1"/>
  <c r="I2" i="1" s="1"/>
  <c r="F12" i="1"/>
  <c r="I12" i="1" s="1"/>
  <c r="F42" i="1"/>
  <c r="I42" i="1" s="1"/>
  <c r="F48" i="1"/>
  <c r="I48" i="1" s="1"/>
  <c r="F40" i="1"/>
  <c r="I40" i="1" s="1"/>
  <c r="F49" i="1"/>
  <c r="F13" i="1"/>
  <c r="I13" i="1" s="1"/>
  <c r="F14" i="1"/>
  <c r="I14" i="1" s="1"/>
  <c r="F50" i="1"/>
  <c r="I50" i="1" s="1"/>
  <c r="F95" i="1"/>
  <c r="I95" i="1" s="1"/>
  <c r="F83" i="1"/>
  <c r="I83" i="1" s="1"/>
  <c r="F96" i="1"/>
  <c r="I96" i="1" s="1"/>
  <c r="F15" i="1"/>
  <c r="I15" i="1" s="1"/>
  <c r="F76" i="1"/>
  <c r="I76" i="1" s="1"/>
  <c r="F85" i="1"/>
  <c r="I85" i="1" s="1"/>
  <c r="F79" i="1"/>
  <c r="I79" i="1" s="1"/>
  <c r="F22" i="1"/>
  <c r="I22" i="1" s="1"/>
  <c r="F51" i="1"/>
  <c r="F16" i="1"/>
  <c r="F77" i="1"/>
  <c r="F7" i="1"/>
  <c r="F63" i="1"/>
  <c r="I63" i="1" s="1"/>
  <c r="F59" i="1"/>
  <c r="I59" i="1" s="1"/>
  <c r="F60" i="1"/>
  <c r="I60" i="1" s="1"/>
  <c r="F86" i="1"/>
  <c r="F80" i="1"/>
  <c r="F68" i="1"/>
  <c r="I68" i="1" s="1"/>
  <c r="F69" i="1"/>
  <c r="I69" i="1" s="1"/>
  <c r="F19" i="1"/>
  <c r="I19" i="1" s="1"/>
  <c r="F87" i="1"/>
  <c r="I87" i="1" s="1"/>
  <c r="F61" i="1"/>
  <c r="I61" i="1" s="1"/>
  <c r="F26" i="1"/>
  <c r="I26" i="1" s="1"/>
  <c r="F62" i="1"/>
  <c r="I62" i="1" s="1"/>
  <c r="F88" i="1"/>
  <c r="I88" i="1" s="1"/>
  <c r="F28" i="1"/>
  <c r="I28" i="1" s="1"/>
  <c r="F64" i="1"/>
  <c r="I64" i="1" s="1"/>
  <c r="F89" i="1"/>
  <c r="I89" i="1" s="1"/>
  <c r="F41" i="1"/>
  <c r="I41" i="1" s="1"/>
  <c r="F90" i="1"/>
  <c r="I90" i="1" s="1"/>
  <c r="F21" i="1"/>
  <c r="I21" i="1" s="1"/>
  <c r="F82" i="1"/>
  <c r="I82" i="1" s="1"/>
  <c r="F3" i="1"/>
  <c r="F84" i="1"/>
  <c r="F36" i="1"/>
  <c r="F65" i="1"/>
  <c r="F34" i="1"/>
  <c r="I34" i="1" s="1"/>
  <c r="F29" i="1"/>
  <c r="I29" i="1" s="1"/>
  <c r="F92" i="1"/>
  <c r="I92" i="1" s="1"/>
  <c r="F57" i="1"/>
  <c r="I57" i="1" s="1"/>
  <c r="F91" i="1"/>
  <c r="I91" i="1" s="1"/>
  <c r="F81" i="1"/>
  <c r="I81" i="1" s="1"/>
  <c r="F4" i="1"/>
  <c r="I4" i="1" s="1"/>
  <c r="F52" i="1"/>
  <c r="I52" i="1" s="1"/>
  <c r="F53" i="1"/>
  <c r="I53" i="1" s="1"/>
  <c r="F54" i="1"/>
  <c r="I54" i="1" s="1"/>
  <c r="F43" i="1"/>
  <c r="I43" i="1" s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O6" i="1" s="1"/>
  <c r="N5" i="1"/>
  <c r="O5" i="1" s="1"/>
  <c r="N4" i="1"/>
  <c r="O4" i="1" s="1"/>
  <c r="N3" i="1"/>
  <c r="O3" i="1" s="1"/>
  <c r="N2" i="1"/>
  <c r="O2" i="1" s="1"/>
  <c r="N1" i="1"/>
  <c r="O25" i="1" l="1"/>
  <c r="O15" i="1"/>
  <c r="O30" i="1"/>
  <c r="O7" i="1"/>
  <c r="O19" i="1"/>
  <c r="O8" i="1"/>
  <c r="O9" i="1"/>
  <c r="O18" i="1"/>
  <c r="O29" i="1"/>
  <c r="O20" i="1"/>
  <c r="O21" i="1"/>
  <c r="O10" i="1"/>
  <c r="O22" i="1"/>
  <c r="O11" i="1"/>
  <c r="O23" i="1"/>
  <c r="O12" i="1"/>
  <c r="O24" i="1"/>
  <c r="O13" i="1"/>
  <c r="O14" i="1"/>
  <c r="O26" i="1"/>
  <c r="O16" i="1"/>
  <c r="O27" i="1"/>
  <c r="O17" i="1"/>
  <c r="O28" i="1"/>
</calcChain>
</file>

<file path=xl/sharedStrings.xml><?xml version="1.0" encoding="utf-8"?>
<sst xmlns="http://schemas.openxmlformats.org/spreadsheetml/2006/main" count="328" uniqueCount="216">
  <si>
    <t>회사명</t>
  </si>
  <si>
    <t>업종대</t>
  </si>
  <si>
    <t>업종소</t>
  </si>
  <si>
    <t>시가총액(억)</t>
  </si>
  <si>
    <t>유통주식 비중 (%)</t>
  </si>
  <si>
    <t>1일 등락률 (%)</t>
  </si>
  <si>
    <t>거래대금 (당일 억)</t>
  </si>
  <si>
    <t>SK하이닉스</t>
  </si>
  <si>
    <t>반도체 관련장비 및 부품</t>
  </si>
  <si>
    <t>종합 반도체</t>
  </si>
  <si>
    <t>삼성화재</t>
  </si>
  <si>
    <t>금융</t>
  </si>
  <si>
    <t>손해보험</t>
  </si>
  <si>
    <t>강원랜드</t>
  </si>
  <si>
    <t>레저산업</t>
  </si>
  <si>
    <t>카지노</t>
  </si>
  <si>
    <t>코웨이</t>
  </si>
  <si>
    <t>가정용품</t>
  </si>
  <si>
    <t>가전제품</t>
  </si>
  <si>
    <t>넷마블</t>
  </si>
  <si>
    <t>미디어 및 엔터</t>
  </si>
  <si>
    <t>게임</t>
  </si>
  <si>
    <t>삼성카드</t>
  </si>
  <si>
    <t>기타 금융</t>
  </si>
  <si>
    <t>현대로템</t>
  </si>
  <si>
    <t>기계</t>
  </si>
  <si>
    <t>중장비 및 관련품</t>
  </si>
  <si>
    <t>팬오션</t>
  </si>
  <si>
    <t>운송 및 물류</t>
  </si>
  <si>
    <t>해상운송</t>
  </si>
  <si>
    <t>한진칼</t>
  </si>
  <si>
    <t>지주사</t>
  </si>
  <si>
    <t>OCI홀딩스</t>
  </si>
  <si>
    <t>에너지</t>
  </si>
  <si>
    <t>태양광</t>
  </si>
  <si>
    <t>동서</t>
  </si>
  <si>
    <t>KCC</t>
  </si>
  <si>
    <t>건설 및 건축자재</t>
  </si>
  <si>
    <t>페인트</t>
  </si>
  <si>
    <t>신세계</t>
  </si>
  <si>
    <t>유통</t>
  </si>
  <si>
    <t>면세점</t>
  </si>
  <si>
    <t>코스모신소재</t>
  </si>
  <si>
    <t>IT 장비 및 소재</t>
  </si>
  <si>
    <t>2차전지</t>
  </si>
  <si>
    <t>CJ ENM</t>
  </si>
  <si>
    <t>미디어</t>
  </si>
  <si>
    <t>DL</t>
  </si>
  <si>
    <t>현대백화점</t>
  </si>
  <si>
    <t>백화점</t>
  </si>
  <si>
    <t>한미반도체</t>
  </si>
  <si>
    <t>반도체장비</t>
  </si>
  <si>
    <t>HPSP</t>
  </si>
  <si>
    <t>메가스터디교육</t>
  </si>
  <si>
    <t>일반서비스</t>
  </si>
  <si>
    <t>교육</t>
  </si>
  <si>
    <t>금호타이어</t>
  </si>
  <si>
    <t>자동차 및 관련부품</t>
  </si>
  <si>
    <t>타이어</t>
  </si>
  <si>
    <t>율촌화학</t>
  </si>
  <si>
    <t>종이 및 용기</t>
  </si>
  <si>
    <t>용기 및 포장재</t>
  </si>
  <si>
    <t>DN오토모티브</t>
  </si>
  <si>
    <t>세아베스틸지주</t>
  </si>
  <si>
    <t>철강 및 비철강</t>
  </si>
  <si>
    <t>제강</t>
  </si>
  <si>
    <t>KCC글라스</t>
  </si>
  <si>
    <t>창호</t>
  </si>
  <si>
    <t>웹젠</t>
  </si>
  <si>
    <t>레인보우로보틱스</t>
  </si>
  <si>
    <t>고려제강</t>
  </si>
  <si>
    <t>선재(와이어)</t>
  </si>
  <si>
    <t>인터로조</t>
  </si>
  <si>
    <t>의료기기 및 용품</t>
  </si>
  <si>
    <t>의료용품</t>
  </si>
  <si>
    <t>한국기업평가</t>
  </si>
  <si>
    <t>신용정보</t>
  </si>
  <si>
    <t>수산인더스트리</t>
  </si>
  <si>
    <t>AJ네트웍스</t>
  </si>
  <si>
    <t>운송인프라</t>
  </si>
  <si>
    <t>HLB글로벌</t>
  </si>
  <si>
    <t>건축자재</t>
  </si>
  <si>
    <t>한양이엔지</t>
  </si>
  <si>
    <t>클린룸</t>
  </si>
  <si>
    <t>삼익THK</t>
  </si>
  <si>
    <t>자동화기기</t>
  </si>
  <si>
    <t>CG인바이츠</t>
  </si>
  <si>
    <t>제약 및 바이오</t>
  </si>
  <si>
    <t>바이오</t>
  </si>
  <si>
    <t>테크윙</t>
  </si>
  <si>
    <t>파인엠텍</t>
  </si>
  <si>
    <t>스마트폰 부품</t>
  </si>
  <si>
    <t>대교</t>
  </si>
  <si>
    <t>KPX홀딩스</t>
  </si>
  <si>
    <t>한국알콜</t>
  </si>
  <si>
    <t>화학</t>
  </si>
  <si>
    <t>기타 화학</t>
  </si>
  <si>
    <t>골프존뉴딘홀딩스</t>
  </si>
  <si>
    <t>백산</t>
  </si>
  <si>
    <t>섬유 및 의류</t>
  </si>
  <si>
    <t>피혁(가죽)</t>
  </si>
  <si>
    <t>에스티아이</t>
  </si>
  <si>
    <t>사조산업</t>
  </si>
  <si>
    <t>식음료</t>
  </si>
  <si>
    <t>식료품</t>
  </si>
  <si>
    <t>가온칩스</t>
  </si>
  <si>
    <t>이지홀딩스</t>
  </si>
  <si>
    <t>서연</t>
  </si>
  <si>
    <t>오픈엣지테크놀로지</t>
  </si>
  <si>
    <t>파워로직스</t>
  </si>
  <si>
    <t>카메라모듈</t>
  </si>
  <si>
    <t>아시아나IDT</t>
  </si>
  <si>
    <t>IT서비스</t>
  </si>
  <si>
    <t>시스템서비스</t>
  </si>
  <si>
    <t>세경하이테크</t>
  </si>
  <si>
    <t>피에스케이홀딩스</t>
  </si>
  <si>
    <t>노루페인트</t>
  </si>
  <si>
    <t>비즈니스온</t>
  </si>
  <si>
    <t>소프트웨어</t>
  </si>
  <si>
    <t>협진</t>
  </si>
  <si>
    <t>화장품</t>
  </si>
  <si>
    <t>케이프</t>
  </si>
  <si>
    <t>조선</t>
  </si>
  <si>
    <t>조선기자재</t>
  </si>
  <si>
    <t>매커스</t>
  </si>
  <si>
    <t>반도체 유통</t>
  </si>
  <si>
    <t>노루홀딩스</t>
  </si>
  <si>
    <t>동신건설</t>
  </si>
  <si>
    <t>중견건설사</t>
  </si>
  <si>
    <t>그린플러스</t>
  </si>
  <si>
    <t>광물</t>
  </si>
  <si>
    <t>대창</t>
  </si>
  <si>
    <t>구리</t>
  </si>
  <si>
    <t>야스</t>
  </si>
  <si>
    <t>디스플레이 장비 및 부품</t>
  </si>
  <si>
    <t>디스플레이 부품</t>
  </si>
  <si>
    <t>디아이티</t>
  </si>
  <si>
    <t>디스플레이 장비</t>
  </si>
  <si>
    <t>광무</t>
  </si>
  <si>
    <t>가온그룹</t>
  </si>
  <si>
    <t>셋톱박스</t>
  </si>
  <si>
    <t>씨앤지하이테크</t>
  </si>
  <si>
    <t>에스텍</t>
  </si>
  <si>
    <t>전기 및 전자기기</t>
  </si>
  <si>
    <t>전자기기</t>
  </si>
  <si>
    <t>이건홀딩스</t>
  </si>
  <si>
    <t>젬백스링크</t>
  </si>
  <si>
    <t>탑엔지니어링</t>
  </si>
  <si>
    <t>코리아에프티</t>
  </si>
  <si>
    <t>기타 자동차부품</t>
  </si>
  <si>
    <t>인지디스플레</t>
  </si>
  <si>
    <t>아이티센</t>
  </si>
  <si>
    <t>SJM</t>
  </si>
  <si>
    <t>한국컴퓨터</t>
  </si>
  <si>
    <t>이니텍</t>
  </si>
  <si>
    <t>보안서비스</t>
  </si>
  <si>
    <t>에스앤디</t>
  </si>
  <si>
    <t>네오리진</t>
  </si>
  <si>
    <t>무림SP</t>
  </si>
  <si>
    <t>종이</t>
  </si>
  <si>
    <t>해성티피씨</t>
  </si>
  <si>
    <t>원풍</t>
  </si>
  <si>
    <t>에이치시티</t>
  </si>
  <si>
    <t>이상네트웍스</t>
  </si>
  <si>
    <t>전자상거래</t>
  </si>
  <si>
    <t>제이엠티</t>
  </si>
  <si>
    <t>메타바이오메드</t>
  </si>
  <si>
    <t>동원금속</t>
  </si>
  <si>
    <t>차체부품</t>
  </si>
  <si>
    <t>와이더플래닛</t>
  </si>
  <si>
    <t>씨씨에스</t>
  </si>
  <si>
    <t>티피씨글로벌</t>
  </si>
  <si>
    <t>듀오백</t>
  </si>
  <si>
    <t>가구</t>
  </si>
  <si>
    <t>중앙첨단소재</t>
  </si>
  <si>
    <t>통신</t>
  </si>
  <si>
    <t>통신장비</t>
  </si>
  <si>
    <t>미래반도체</t>
  </si>
  <si>
    <t>자람테크놀로지</t>
  </si>
  <si>
    <t>워트</t>
  </si>
  <si>
    <t>조정 (유통)시가총액</t>
    <phoneticPr fontId="18" type="noConversion"/>
  </si>
  <si>
    <t>거래대금 비율 TOP</t>
    <phoneticPr fontId="18" type="noConversion"/>
  </si>
  <si>
    <t>각 섹터합(억원)</t>
    <phoneticPr fontId="18" type="noConversion"/>
  </si>
  <si>
    <t>섹터비율</t>
    <phoneticPr fontId="18" type="noConversion"/>
  </si>
  <si>
    <t>검출 거래대금 합</t>
    <phoneticPr fontId="18" type="noConversion"/>
  </si>
  <si>
    <t>퀀트 검출 섹터 및 추이</t>
    <phoneticPr fontId="18" type="noConversion"/>
  </si>
  <si>
    <t>(개수)비중</t>
    <phoneticPr fontId="18" type="noConversion"/>
  </si>
  <si>
    <t>화학</t>
    <phoneticPr fontId="18" type="noConversion"/>
  </si>
  <si>
    <t>통신</t>
    <phoneticPr fontId="18" type="noConversion"/>
  </si>
  <si>
    <t>철강 및 비철강</t>
    <phoneticPr fontId="18" type="noConversion"/>
  </si>
  <si>
    <t>지주사</t>
    <phoneticPr fontId="18" type="noConversion"/>
  </si>
  <si>
    <t>종이 및 용기</t>
    <phoneticPr fontId="18" type="noConversion"/>
  </si>
  <si>
    <t>조선</t>
    <phoneticPr fontId="18" type="noConversion"/>
  </si>
  <si>
    <t>제약 및 바이오</t>
    <phoneticPr fontId="18" type="noConversion"/>
  </si>
  <si>
    <t>전기 및 전자기기</t>
    <phoneticPr fontId="18" type="noConversion"/>
  </si>
  <si>
    <t>자동차 및 관련부품</t>
    <phoneticPr fontId="18" type="noConversion"/>
  </si>
  <si>
    <t>일반서비스</t>
    <phoneticPr fontId="18" type="noConversion"/>
  </si>
  <si>
    <t>의료기기 및 용품</t>
    <phoneticPr fontId="18" type="noConversion"/>
  </si>
  <si>
    <t>유틸리티</t>
    <phoneticPr fontId="18" type="noConversion"/>
  </si>
  <si>
    <t>유통</t>
    <phoneticPr fontId="18" type="noConversion"/>
  </si>
  <si>
    <t>유아동산업</t>
    <phoneticPr fontId="18" type="noConversion"/>
  </si>
  <si>
    <t>운송 및 물류</t>
    <phoneticPr fontId="18" type="noConversion"/>
  </si>
  <si>
    <t>에너지</t>
    <phoneticPr fontId="18" type="noConversion"/>
  </si>
  <si>
    <t>식음료</t>
    <phoneticPr fontId="18" type="noConversion"/>
  </si>
  <si>
    <t>섬유 및 의류</t>
    <phoneticPr fontId="18" type="noConversion"/>
  </si>
  <si>
    <t>석유 및 가스</t>
    <phoneticPr fontId="18" type="noConversion"/>
  </si>
  <si>
    <t>반도체 관련장비 및 부품</t>
    <phoneticPr fontId="18" type="noConversion"/>
  </si>
  <si>
    <t>미디어 및 엔터</t>
    <phoneticPr fontId="18" type="noConversion"/>
  </si>
  <si>
    <t>레저산업</t>
    <phoneticPr fontId="18" type="noConversion"/>
  </si>
  <si>
    <t>디스플레이 장비 및 부품</t>
    <phoneticPr fontId="18" type="noConversion"/>
  </si>
  <si>
    <t>기계</t>
    <phoneticPr fontId="18" type="noConversion"/>
  </si>
  <si>
    <t>금융</t>
    <phoneticPr fontId="18" type="noConversion"/>
  </si>
  <si>
    <t>가정용품</t>
    <phoneticPr fontId="18" type="noConversion"/>
  </si>
  <si>
    <t>건설 및 건축자재</t>
    <phoneticPr fontId="18" type="noConversion"/>
  </si>
  <si>
    <t>IT서비스</t>
    <phoneticPr fontId="18" type="noConversion"/>
  </si>
  <si>
    <t>IT 장비 및 소재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</si>
</sst>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33" borderId="0" xfId="0" applyNumberFormat="1" applyFill="1">
      <alignment vertical="center"/>
    </xf>
    <xf numFmtId="0" fontId="0" fillId="33" borderId="0" xfId="0" applyFill="1">
      <alignment vertical="center"/>
    </xf>
    <xf numFmtId="177" fontId="0" fillId="33" borderId="0" xfId="1" applyNumberFormat="1" applyFont="1" applyFill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177" fontId="20" fillId="0" borderId="0" xfId="1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" xfId="1" builtinId="5"/>
    <cellStyle name="보통" xfId="9" builtinId="28" customBuiltin="1"/>
    <cellStyle name="설명 텍스트" xfId="17" builtinId="53" customBuiltin="1"/>
    <cellStyle name="셀 확인" xfId="14" builtinId="23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6"/>
  <sheetViews>
    <sheetView tabSelected="1" zoomScale="90" zoomScaleNormal="90" workbookViewId="0">
      <pane ySplit="1" topLeftCell="A2" activePane="bottomLeft" state="frozen"/>
      <selection pane="bottomLeft" activeCell="L3" sqref="L3"/>
    </sheetView>
  </sheetViews>
  <sheetFormatPr defaultRowHeight="16.5" x14ac:dyDescent="0.3"/>
  <cols>
    <col min="1" max="1" width="19.25" bestFit="1" customWidth="1"/>
    <col min="2" max="2" width="23.5" bestFit="1" customWidth="1"/>
    <col min="3" max="3" width="16.5" bestFit="1" customWidth="1"/>
    <col min="4" max="4" width="12.375" style="9" bestFit="1" customWidth="1"/>
    <col min="5" max="5" width="17.625" bestFit="1" customWidth="1"/>
    <col min="6" max="6" width="19.25" style="9" bestFit="1" customWidth="1"/>
    <col min="7" max="7" width="14.625" bestFit="1" customWidth="1"/>
    <col min="8" max="8" width="17.875" style="9" bestFit="1" customWidth="1"/>
    <col min="9" max="9" width="18.5" bestFit="1" customWidth="1"/>
    <col min="10" max="10" width="15.125" style="9" bestFit="1" customWidth="1"/>
    <col min="11" max="11" width="9" style="10"/>
    <col min="12" max="12" width="16.5" style="9" bestFit="1" customWidth="1"/>
    <col min="13" max="13" width="30.125" bestFit="1" customWidth="1"/>
    <col min="14" max="14" width="4.5" bestFit="1" customWidth="1"/>
    <col min="15" max="15" width="13.25" bestFit="1" customWidth="1"/>
  </cols>
  <sheetData>
    <row r="1" spans="1:15" ht="20.25" x14ac:dyDescent="0.3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180</v>
      </c>
      <c r="G1" s="2" t="s">
        <v>5</v>
      </c>
      <c r="H1" s="1" t="s">
        <v>6</v>
      </c>
      <c r="I1" s="3" t="s">
        <v>181</v>
      </c>
      <c r="J1" s="1" t="s">
        <v>182</v>
      </c>
      <c r="K1" s="3" t="s">
        <v>183</v>
      </c>
      <c r="L1" s="1" t="s">
        <v>184</v>
      </c>
      <c r="M1" s="4" t="s">
        <v>185</v>
      </c>
      <c r="N1" s="5">
        <f>COUNTA(A:A)-1</f>
        <v>95</v>
      </c>
      <c r="O1" s="6" t="s">
        <v>186</v>
      </c>
    </row>
    <row r="2" spans="1:15" ht="20.25" x14ac:dyDescent="0.3">
      <c r="A2" t="s">
        <v>94</v>
      </c>
      <c r="B2" t="s">
        <v>95</v>
      </c>
      <c r="C2" t="s">
        <v>96</v>
      </c>
      <c r="D2" s="9">
        <v>2578</v>
      </c>
      <c r="E2">
        <v>56.4</v>
      </c>
      <c r="F2" s="9">
        <f>D2*E2%</f>
        <v>1453.992</v>
      </c>
      <c r="G2">
        <v>1.88</v>
      </c>
      <c r="H2" s="9">
        <v>30.42</v>
      </c>
      <c r="I2" s="10">
        <f>H2/F2</f>
        <v>2.0921710710925509E-2</v>
      </c>
      <c r="L2" s="9">
        <v>55060</v>
      </c>
      <c r="M2" s="7" t="s">
        <v>187</v>
      </c>
      <c r="N2" s="7">
        <f>COUNTIF(B:B, "화학")</f>
        <v>2</v>
      </c>
      <c r="O2" s="8">
        <f>N2/$N$1</f>
        <v>2.1052631578947368E-2</v>
      </c>
    </row>
    <row r="3" spans="1:15" ht="20.25" x14ac:dyDescent="0.3">
      <c r="A3" t="s">
        <v>161</v>
      </c>
      <c r="B3" t="s">
        <v>95</v>
      </c>
      <c r="C3" t="s">
        <v>96</v>
      </c>
      <c r="D3" s="9">
        <v>512</v>
      </c>
      <c r="E3">
        <v>38.1</v>
      </c>
      <c r="F3" s="9">
        <f>D3*E3%</f>
        <v>195.072</v>
      </c>
      <c r="G3">
        <v>1.55</v>
      </c>
      <c r="H3" s="9">
        <v>3.52</v>
      </c>
      <c r="I3" s="10">
        <f>H3/F3</f>
        <v>1.804461942257218E-2</v>
      </c>
      <c r="M3" s="7" t="s">
        <v>188</v>
      </c>
      <c r="N3" s="7">
        <f>COUNTIF(B:B, "통신")</f>
        <v>1</v>
      </c>
      <c r="O3" s="8">
        <f t="shared" ref="O3:O30" si="0">N3/$N$1</f>
        <v>1.0526315789473684E-2</v>
      </c>
    </row>
    <row r="4" spans="1:15" ht="20.25" x14ac:dyDescent="0.3">
      <c r="A4" t="s">
        <v>174</v>
      </c>
      <c r="B4" t="s">
        <v>175</v>
      </c>
      <c r="C4" t="s">
        <v>176</v>
      </c>
      <c r="D4" s="9">
        <v>2869</v>
      </c>
      <c r="E4">
        <v>69.8</v>
      </c>
      <c r="F4" s="9">
        <f>D4*E4%</f>
        <v>2002.5619999999999</v>
      </c>
      <c r="G4">
        <v>16.22</v>
      </c>
      <c r="H4" s="9">
        <v>283.92</v>
      </c>
      <c r="I4" s="10">
        <f>H4/F4</f>
        <v>0.14177838189279535</v>
      </c>
      <c r="M4" s="7" t="s">
        <v>189</v>
      </c>
      <c r="N4" s="7">
        <f>COUNTIF(B:B, "철강 및 비철강")</f>
        <v>4</v>
      </c>
      <c r="O4" s="8">
        <f t="shared" si="0"/>
        <v>4.2105263157894736E-2</v>
      </c>
    </row>
    <row r="5" spans="1:15" ht="20.25" x14ac:dyDescent="0.3">
      <c r="A5" t="s">
        <v>63</v>
      </c>
      <c r="B5" t="s">
        <v>64</v>
      </c>
      <c r="C5" t="s">
        <v>65</v>
      </c>
      <c r="D5" s="9">
        <v>8930</v>
      </c>
      <c r="E5">
        <v>37.299999999999997</v>
      </c>
      <c r="F5" s="9">
        <f>D5*E5%</f>
        <v>3330.89</v>
      </c>
      <c r="G5">
        <v>3.53</v>
      </c>
      <c r="H5" s="9">
        <v>86.12</v>
      </c>
      <c r="I5" s="10">
        <f>H5/F5</f>
        <v>2.5854951679581135E-2</v>
      </c>
      <c r="M5" s="7" t="s">
        <v>190</v>
      </c>
      <c r="N5" s="7">
        <f>COUNTIF(B:B, "지주사")</f>
        <v>10</v>
      </c>
      <c r="O5" s="8">
        <f t="shared" si="0"/>
        <v>0.10526315789473684</v>
      </c>
    </row>
    <row r="6" spans="1:15" ht="20.25" x14ac:dyDescent="0.3">
      <c r="A6" t="s">
        <v>70</v>
      </c>
      <c r="B6" t="s">
        <v>64</v>
      </c>
      <c r="C6" t="s">
        <v>71</v>
      </c>
      <c r="D6" s="9">
        <v>7438</v>
      </c>
      <c r="E6">
        <v>32.200000000000003</v>
      </c>
      <c r="F6" s="9">
        <f>D6*E6%</f>
        <v>2395.0360000000001</v>
      </c>
      <c r="G6">
        <v>12.26</v>
      </c>
      <c r="H6" s="9">
        <v>1638.01</v>
      </c>
      <c r="I6" s="10">
        <f>H6/F6</f>
        <v>0.68391873859098562</v>
      </c>
      <c r="M6" s="7" t="s">
        <v>191</v>
      </c>
      <c r="N6" s="7">
        <f>COUNTIF(B:B, "종이 및 용기")</f>
        <v>2</v>
      </c>
      <c r="O6" s="8">
        <f t="shared" si="0"/>
        <v>2.1052631578947368E-2</v>
      </c>
    </row>
    <row r="7" spans="1:15" ht="20.25" x14ac:dyDescent="0.3">
      <c r="A7" t="s">
        <v>129</v>
      </c>
      <c r="B7" t="s">
        <v>64</v>
      </c>
      <c r="C7" t="s">
        <v>130</v>
      </c>
      <c r="D7" s="9">
        <v>902</v>
      </c>
      <c r="E7">
        <v>65.900000000000006</v>
      </c>
      <c r="F7" s="9">
        <f>D7*E7%</f>
        <v>594.41800000000001</v>
      </c>
      <c r="G7">
        <v>1.96</v>
      </c>
      <c r="H7" s="9">
        <v>4.45</v>
      </c>
      <c r="I7" s="10">
        <f>H7/F7</f>
        <v>7.4863143444512115E-3</v>
      </c>
      <c r="M7" s="7" t="s">
        <v>192</v>
      </c>
      <c r="N7" s="7">
        <f>COUNTIF(B:B, "조선")</f>
        <v>1</v>
      </c>
      <c r="O7" s="8">
        <f t="shared" si="0"/>
        <v>1.0526315789473684E-2</v>
      </c>
    </row>
    <row r="8" spans="1:15" ht="20.25" x14ac:dyDescent="0.3">
      <c r="A8" t="s">
        <v>30</v>
      </c>
      <c r="B8" t="s">
        <v>31</v>
      </c>
      <c r="C8" t="s">
        <v>31</v>
      </c>
      <c r="D8" s="9">
        <v>51073</v>
      </c>
      <c r="E8">
        <v>70</v>
      </c>
      <c r="F8" s="9">
        <f>D8*E8%</f>
        <v>35751.1</v>
      </c>
      <c r="G8">
        <v>3.94</v>
      </c>
      <c r="H8" s="9">
        <v>160.83000000000001</v>
      </c>
      <c r="I8" s="10">
        <f>H8/F8</f>
        <v>4.4986028401923306E-3</v>
      </c>
      <c r="M8" s="7" t="s">
        <v>193</v>
      </c>
      <c r="N8" s="7">
        <f>COUNTIF(B:B, "제약 및 바이오")</f>
        <v>1</v>
      </c>
      <c r="O8" s="8">
        <f t="shared" si="0"/>
        <v>1.0526315789473684E-2</v>
      </c>
    </row>
    <row r="9" spans="1:15" ht="20.25" x14ac:dyDescent="0.3">
      <c r="A9" t="s">
        <v>35</v>
      </c>
      <c r="B9" t="s">
        <v>31</v>
      </c>
      <c r="C9" t="s">
        <v>31</v>
      </c>
      <c r="D9" s="9">
        <v>17886</v>
      </c>
      <c r="E9">
        <v>30.1</v>
      </c>
      <c r="F9" s="9">
        <f>D9*E9%</f>
        <v>5383.6859999999997</v>
      </c>
      <c r="G9">
        <v>1.1299999999999999</v>
      </c>
      <c r="H9" s="9">
        <v>18.09</v>
      </c>
      <c r="I9" s="10">
        <f>H9/F9</f>
        <v>3.3601513907014638E-3</v>
      </c>
      <c r="M9" s="7" t="s">
        <v>194</v>
      </c>
      <c r="N9" s="7">
        <f>COUNTIF(B:B, "전기 및 전자기기")</f>
        <v>2</v>
      </c>
      <c r="O9" s="8">
        <f t="shared" si="0"/>
        <v>2.1052631578947368E-2</v>
      </c>
    </row>
    <row r="10" spans="1:15" ht="20.25" x14ac:dyDescent="0.3">
      <c r="A10" t="s">
        <v>93</v>
      </c>
      <c r="B10" t="s">
        <v>31</v>
      </c>
      <c r="C10" t="s">
        <v>31</v>
      </c>
      <c r="D10" s="9">
        <v>2455</v>
      </c>
      <c r="E10">
        <v>18.899999999999999</v>
      </c>
      <c r="F10" s="9">
        <f>D10*E10%</f>
        <v>463.99499999999995</v>
      </c>
      <c r="G10">
        <v>3.2</v>
      </c>
      <c r="H10" s="9">
        <v>4.42</v>
      </c>
      <c r="I10" s="10">
        <f>H10/F10</f>
        <v>9.5259647194474092E-3</v>
      </c>
      <c r="M10" s="7" t="s">
        <v>195</v>
      </c>
      <c r="N10" s="7">
        <f>COUNTIF(B:B, "자동차 및 관련부품")</f>
        <v>6</v>
      </c>
      <c r="O10" s="8">
        <f t="shared" si="0"/>
        <v>6.3157894736842107E-2</v>
      </c>
    </row>
    <row r="11" spans="1:15" ht="20.25" hidden="1" x14ac:dyDescent="0.3">
      <c r="A11" t="s">
        <v>32</v>
      </c>
      <c r="B11" t="s">
        <v>33</v>
      </c>
      <c r="C11" t="s">
        <v>34</v>
      </c>
      <c r="D11" s="9">
        <v>20506</v>
      </c>
      <c r="E11">
        <v>70.099999999999994</v>
      </c>
      <c r="F11" s="9">
        <f>D11*E11%</f>
        <v>14374.705999999998</v>
      </c>
      <c r="G11">
        <v>-7.59</v>
      </c>
      <c r="H11" s="9">
        <v>562.25</v>
      </c>
      <c r="I11" s="10">
        <f>H11/F11</f>
        <v>3.9113843441389344E-2</v>
      </c>
      <c r="K11"/>
      <c r="M11" s="7" t="s">
        <v>196</v>
      </c>
      <c r="N11" s="7">
        <f>COUNTIF(B:B, "일반서비스")</f>
        <v>3</v>
      </c>
      <c r="O11" s="8">
        <f t="shared" si="0"/>
        <v>3.1578947368421054E-2</v>
      </c>
    </row>
    <row r="12" spans="1:15" ht="20.25" x14ac:dyDescent="0.3">
      <c r="A12" t="s">
        <v>97</v>
      </c>
      <c r="B12" t="s">
        <v>31</v>
      </c>
      <c r="C12" t="s">
        <v>31</v>
      </c>
      <c r="D12" s="9">
        <v>1902</v>
      </c>
      <c r="E12">
        <v>41.9</v>
      </c>
      <c r="F12" s="9">
        <f>D12*E12%</f>
        <v>796.93799999999999</v>
      </c>
      <c r="G12">
        <v>8.42</v>
      </c>
      <c r="H12" s="9">
        <v>282.52</v>
      </c>
      <c r="I12" s="10">
        <f>H12/F12</f>
        <v>0.35450687506430861</v>
      </c>
      <c r="M12" s="7" t="s">
        <v>197</v>
      </c>
      <c r="N12" s="7">
        <f>COUNTIF(B:B, "의료기기 및 용품")</f>
        <v>2</v>
      </c>
      <c r="O12" s="8">
        <f t="shared" si="0"/>
        <v>2.1052631578947368E-2</v>
      </c>
    </row>
    <row r="13" spans="1:15" ht="20.25" x14ac:dyDescent="0.3">
      <c r="A13" t="s">
        <v>106</v>
      </c>
      <c r="B13" t="s">
        <v>31</v>
      </c>
      <c r="C13" t="s">
        <v>31</v>
      </c>
      <c r="D13" s="9">
        <v>2016</v>
      </c>
      <c r="E13">
        <v>50.2</v>
      </c>
      <c r="F13" s="9">
        <f>D13*E13%</f>
        <v>1012.032</v>
      </c>
      <c r="G13">
        <v>1.31</v>
      </c>
      <c r="H13" s="9">
        <v>7.27</v>
      </c>
      <c r="I13" s="10">
        <f>H13/F13</f>
        <v>7.1835673180294692E-3</v>
      </c>
      <c r="M13" s="7" t="s">
        <v>198</v>
      </c>
      <c r="N13" s="7">
        <f>COUNTIF(B:B, "유틸리티")</f>
        <v>0</v>
      </c>
      <c r="O13" s="8">
        <f t="shared" si="0"/>
        <v>0</v>
      </c>
    </row>
    <row r="14" spans="1:15" ht="20.25" x14ac:dyDescent="0.3">
      <c r="A14" t="s">
        <v>107</v>
      </c>
      <c r="B14" t="s">
        <v>31</v>
      </c>
      <c r="C14" t="s">
        <v>31</v>
      </c>
      <c r="D14" s="9">
        <v>2794</v>
      </c>
      <c r="E14">
        <v>46.6</v>
      </c>
      <c r="F14" s="9">
        <f>D14*E14%</f>
        <v>1302.0040000000001</v>
      </c>
      <c r="G14">
        <v>1.62</v>
      </c>
      <c r="H14" s="9">
        <v>721.21</v>
      </c>
      <c r="I14" s="10">
        <f>H14/F14</f>
        <v>0.55392302942233662</v>
      </c>
      <c r="M14" s="7" t="s">
        <v>199</v>
      </c>
      <c r="N14" s="7">
        <f>COUNTIF(B:B, "유통")</f>
        <v>3</v>
      </c>
      <c r="O14" s="8">
        <f t="shared" si="0"/>
        <v>3.1578947368421054E-2</v>
      </c>
    </row>
    <row r="15" spans="1:15" ht="20.25" x14ac:dyDescent="0.3">
      <c r="A15" t="s">
        <v>115</v>
      </c>
      <c r="B15" t="s">
        <v>31</v>
      </c>
      <c r="C15" t="s">
        <v>31</v>
      </c>
      <c r="D15" s="9">
        <v>7116</v>
      </c>
      <c r="E15">
        <v>28.6</v>
      </c>
      <c r="F15" s="9">
        <f>D15*E15%</f>
        <v>2035.1760000000002</v>
      </c>
      <c r="G15">
        <v>7.49</v>
      </c>
      <c r="H15" s="9">
        <v>316.33</v>
      </c>
      <c r="I15" s="10">
        <f>H15/F15</f>
        <v>0.15543127473987506</v>
      </c>
      <c r="M15" s="7" t="s">
        <v>200</v>
      </c>
      <c r="N15" s="7">
        <f>COUNTIF(B:B, "유아동산업")</f>
        <v>0</v>
      </c>
      <c r="O15" s="8">
        <f t="shared" si="0"/>
        <v>0</v>
      </c>
    </row>
    <row r="16" spans="1:15" ht="20.25" x14ac:dyDescent="0.3">
      <c r="A16" t="s">
        <v>126</v>
      </c>
      <c r="B16" t="s">
        <v>31</v>
      </c>
      <c r="C16" t="s">
        <v>31</v>
      </c>
      <c r="D16" s="9">
        <v>1802</v>
      </c>
      <c r="E16">
        <v>30.7</v>
      </c>
      <c r="F16" s="9">
        <f>D16*E16%</f>
        <v>553.21399999999994</v>
      </c>
      <c r="G16">
        <v>12.72</v>
      </c>
      <c r="H16" s="9">
        <v>465.37</v>
      </c>
      <c r="I16" s="10">
        <f>H16/F16</f>
        <v>0.84121153839201479</v>
      </c>
      <c r="M16" s="7" t="s">
        <v>201</v>
      </c>
      <c r="N16" s="7">
        <f>COUNTIF(B:B, "운송 및 물류")</f>
        <v>2</v>
      </c>
      <c r="O16" s="8">
        <f t="shared" si="0"/>
        <v>2.1052631578947368E-2</v>
      </c>
    </row>
    <row r="17" spans="1:15" ht="20.25" hidden="1" x14ac:dyDescent="0.3">
      <c r="A17" t="s">
        <v>47</v>
      </c>
      <c r="B17" t="s">
        <v>31</v>
      </c>
      <c r="C17" t="s">
        <v>31</v>
      </c>
      <c r="D17" s="9">
        <v>11589</v>
      </c>
      <c r="E17">
        <v>50.8</v>
      </c>
      <c r="F17" s="9">
        <f>D17*E17%</f>
        <v>5887.2120000000004</v>
      </c>
      <c r="G17">
        <v>-4.9800000000000004</v>
      </c>
      <c r="H17" s="9">
        <v>115.97</v>
      </c>
      <c r="I17" s="10">
        <f>H17/F17</f>
        <v>1.9698628145206933E-2</v>
      </c>
      <c r="K17"/>
      <c r="M17" s="7" t="s">
        <v>202</v>
      </c>
      <c r="N17" s="7">
        <f>COUNTIF(B:B, "에너지")</f>
        <v>2</v>
      </c>
      <c r="O17" s="8">
        <f t="shared" si="0"/>
        <v>2.1052631578947368E-2</v>
      </c>
    </row>
    <row r="18" spans="1:15" ht="20.25" hidden="1" x14ac:dyDescent="0.3">
      <c r="A18" t="s">
        <v>48</v>
      </c>
      <c r="B18" t="s">
        <v>40</v>
      </c>
      <c r="C18" t="s">
        <v>49</v>
      </c>
      <c r="D18" s="9">
        <v>13269</v>
      </c>
      <c r="E18">
        <v>57.3</v>
      </c>
      <c r="F18" s="9">
        <f>D18*E18%</f>
        <v>7603.1369999999997</v>
      </c>
      <c r="G18">
        <v>-4.0599999999999996</v>
      </c>
      <c r="H18" s="9">
        <v>245.35</v>
      </c>
      <c r="I18" s="10">
        <f>H18/F18</f>
        <v>3.2269575045142551E-2</v>
      </c>
      <c r="K18"/>
      <c r="M18" s="7" t="s">
        <v>203</v>
      </c>
      <c r="N18" s="7">
        <f>COUNTIF(B:B, "식음료")</f>
        <v>2</v>
      </c>
      <c r="O18" s="8">
        <f t="shared" si="0"/>
        <v>2.1052631578947368E-2</v>
      </c>
    </row>
    <row r="19" spans="1:15" ht="20.25" x14ac:dyDescent="0.3">
      <c r="A19" t="s">
        <v>145</v>
      </c>
      <c r="B19" t="s">
        <v>31</v>
      </c>
      <c r="C19" t="s">
        <v>31</v>
      </c>
      <c r="D19" s="9">
        <v>666</v>
      </c>
      <c r="E19">
        <v>43.2</v>
      </c>
      <c r="F19" s="9">
        <f>D19*E19%</f>
        <v>287.71200000000005</v>
      </c>
      <c r="G19">
        <v>2.25</v>
      </c>
      <c r="H19" s="9">
        <v>9.09</v>
      </c>
      <c r="I19" s="10">
        <f>H19/F19</f>
        <v>3.159409409409409E-2</v>
      </c>
      <c r="M19" s="7" t="s">
        <v>204</v>
      </c>
      <c r="N19" s="7">
        <f>COUNTIF(B:B, "섬유 및 의류")</f>
        <v>1</v>
      </c>
      <c r="O19" s="8">
        <f t="shared" si="0"/>
        <v>1.0526315789473684E-2</v>
      </c>
    </row>
    <row r="20" spans="1:15" ht="20.25" x14ac:dyDescent="0.3">
      <c r="A20" t="s">
        <v>59</v>
      </c>
      <c r="B20" t="s">
        <v>60</v>
      </c>
      <c r="C20" t="s">
        <v>61</v>
      </c>
      <c r="D20" s="9">
        <v>8333</v>
      </c>
      <c r="E20">
        <v>43.5</v>
      </c>
      <c r="F20" s="9">
        <f>D20*E20%</f>
        <v>3624.855</v>
      </c>
      <c r="G20">
        <v>5</v>
      </c>
      <c r="H20" s="9">
        <v>65.78</v>
      </c>
      <c r="I20" s="10">
        <f>H20/F20</f>
        <v>1.814693277386268E-2</v>
      </c>
      <c r="M20" s="7" t="s">
        <v>205</v>
      </c>
      <c r="N20" s="7">
        <f>COUNTIF(B:B, "석유 및 가스")</f>
        <v>0</v>
      </c>
      <c r="O20" s="8">
        <f t="shared" si="0"/>
        <v>0</v>
      </c>
    </row>
    <row r="21" spans="1:15" ht="20.25" x14ac:dyDescent="0.3">
      <c r="A21" t="s">
        <v>158</v>
      </c>
      <c r="B21" t="s">
        <v>60</v>
      </c>
      <c r="C21" t="s">
        <v>159</v>
      </c>
      <c r="D21" s="9">
        <v>433</v>
      </c>
      <c r="E21">
        <v>38.6</v>
      </c>
      <c r="F21" s="9">
        <f>D21*E21%</f>
        <v>167.13800000000001</v>
      </c>
      <c r="G21">
        <v>0.05</v>
      </c>
      <c r="H21" s="9">
        <v>0.84</v>
      </c>
      <c r="I21" s="10">
        <f>H21/F21</f>
        <v>5.0257870741542915E-3</v>
      </c>
      <c r="M21" s="7" t="s">
        <v>206</v>
      </c>
      <c r="N21" s="7">
        <f>COUNTIF(B:B, "반도체 관련장비 및 부품")</f>
        <v>13</v>
      </c>
      <c r="O21" s="8">
        <f t="shared" si="0"/>
        <v>0.1368421052631579</v>
      </c>
    </row>
    <row r="22" spans="1:15" ht="20.25" x14ac:dyDescent="0.3">
      <c r="A22" t="s">
        <v>121</v>
      </c>
      <c r="B22" t="s">
        <v>122</v>
      </c>
      <c r="C22" t="s">
        <v>123</v>
      </c>
      <c r="D22" s="9">
        <v>1338</v>
      </c>
      <c r="E22">
        <v>56.5</v>
      </c>
      <c r="F22" s="9">
        <f>D22*E22%</f>
        <v>755.96999999999991</v>
      </c>
      <c r="G22">
        <v>1.05</v>
      </c>
      <c r="H22" s="9">
        <v>4.01</v>
      </c>
      <c r="I22" s="10">
        <f>H22/F22</f>
        <v>5.3044432980144714E-3</v>
      </c>
      <c r="M22" s="7" t="s">
        <v>207</v>
      </c>
      <c r="N22" s="7">
        <f>COUNTIF(B:B, "미디어 및 엔터")</f>
        <v>4</v>
      </c>
      <c r="O22" s="8">
        <f t="shared" si="0"/>
        <v>4.2105263157894736E-2</v>
      </c>
    </row>
    <row r="23" spans="1:15" ht="20.25" x14ac:dyDescent="0.3">
      <c r="A23" t="s">
        <v>86</v>
      </c>
      <c r="B23" t="s">
        <v>87</v>
      </c>
      <c r="C23" t="s">
        <v>88</v>
      </c>
      <c r="D23" s="9">
        <v>2430</v>
      </c>
      <c r="E23">
        <v>84.1</v>
      </c>
      <c r="F23" s="9">
        <f>D23*E23%</f>
        <v>2043.6299999999999</v>
      </c>
      <c r="G23">
        <v>13.46</v>
      </c>
      <c r="H23" s="9">
        <v>33.92</v>
      </c>
      <c r="I23" s="10">
        <f>H23/F23</f>
        <v>1.6597916452586819E-2</v>
      </c>
      <c r="M23" s="7" t="s">
        <v>208</v>
      </c>
      <c r="N23" s="7">
        <f>COUNTIF(B:B, "레저산업")</f>
        <v>1</v>
      </c>
      <c r="O23" s="8">
        <f t="shared" si="0"/>
        <v>1.0526315789473684E-2</v>
      </c>
    </row>
    <row r="24" spans="1:15" ht="20.25" x14ac:dyDescent="0.3">
      <c r="A24" t="s">
        <v>56</v>
      </c>
      <c r="B24" t="s">
        <v>57</v>
      </c>
      <c r="C24" t="s">
        <v>58</v>
      </c>
      <c r="D24" s="9">
        <v>18729</v>
      </c>
      <c r="E24">
        <v>28.4</v>
      </c>
      <c r="F24" s="9">
        <f>D24*E24%</f>
        <v>5319.0359999999991</v>
      </c>
      <c r="G24">
        <v>0.62</v>
      </c>
      <c r="H24" s="9">
        <v>71.67</v>
      </c>
      <c r="I24" s="10">
        <f>H24/F24</f>
        <v>1.3474246085192883E-2</v>
      </c>
      <c r="M24" s="7" t="s">
        <v>209</v>
      </c>
      <c r="N24" s="7">
        <f>COUNTIF(B:B, "디스플레이 장비 및 부품")</f>
        <v>6</v>
      </c>
      <c r="O24" s="8">
        <f t="shared" si="0"/>
        <v>6.3157894736842107E-2</v>
      </c>
    </row>
    <row r="25" spans="1:15" ht="20.25" x14ac:dyDescent="0.3">
      <c r="A25" t="s">
        <v>62</v>
      </c>
      <c r="B25" t="s">
        <v>57</v>
      </c>
      <c r="C25" t="s">
        <v>58</v>
      </c>
      <c r="D25" s="9">
        <v>8795</v>
      </c>
      <c r="E25">
        <v>34.4</v>
      </c>
      <c r="F25" s="9">
        <f>D25*E25%</f>
        <v>3025.4799999999996</v>
      </c>
      <c r="G25">
        <v>0.69</v>
      </c>
      <c r="H25" s="9">
        <v>37.92</v>
      </c>
      <c r="I25" s="10">
        <f>H25/F25</f>
        <v>1.2533548395626481E-2</v>
      </c>
      <c r="M25" s="7" t="s">
        <v>210</v>
      </c>
      <c r="N25" s="7">
        <f>COUNTIF(B:B, "기계")</f>
        <v>4</v>
      </c>
      <c r="O25" s="8">
        <f t="shared" si="0"/>
        <v>4.2105263157894736E-2</v>
      </c>
    </row>
    <row r="26" spans="1:15" ht="20.25" x14ac:dyDescent="0.3">
      <c r="A26" t="s">
        <v>148</v>
      </c>
      <c r="B26" t="s">
        <v>57</v>
      </c>
      <c r="C26" t="s">
        <v>149</v>
      </c>
      <c r="D26" s="9">
        <v>1290</v>
      </c>
      <c r="E26">
        <v>60.5</v>
      </c>
      <c r="F26" s="9">
        <f>D26*E26%</f>
        <v>780.44999999999993</v>
      </c>
      <c r="G26">
        <v>0.54</v>
      </c>
      <c r="H26" s="9">
        <v>849.68</v>
      </c>
      <c r="I26" s="10">
        <f>H26/F26</f>
        <v>1.0887052341597796</v>
      </c>
      <c r="M26" s="7" t="s">
        <v>211</v>
      </c>
      <c r="N26" s="7">
        <f>COUNTIF(B:B, "금융")</f>
        <v>2</v>
      </c>
      <c r="O26" s="8">
        <f t="shared" si="0"/>
        <v>2.1052631578947368E-2</v>
      </c>
    </row>
    <row r="27" spans="1:15" ht="20.25" hidden="1" x14ac:dyDescent="0.3">
      <c r="A27" t="s">
        <v>68</v>
      </c>
      <c r="B27" t="s">
        <v>20</v>
      </c>
      <c r="C27" t="s">
        <v>21</v>
      </c>
      <c r="D27" s="9">
        <v>5830</v>
      </c>
      <c r="E27">
        <v>56.5</v>
      </c>
      <c r="F27" s="9">
        <f>D27*E27%</f>
        <v>3293.95</v>
      </c>
      <c r="G27">
        <v>-3.25</v>
      </c>
      <c r="H27" s="9">
        <v>80.069999999999993</v>
      </c>
      <c r="I27" s="10">
        <f>H27/F27</f>
        <v>2.430820139953551E-2</v>
      </c>
      <c r="K27"/>
      <c r="M27" s="7" t="s">
        <v>212</v>
      </c>
      <c r="N27" s="7">
        <f>COUNTIF(B:B, "가정용품")</f>
        <v>4</v>
      </c>
      <c r="O27" s="8">
        <f t="shared" si="0"/>
        <v>4.2105263157894736E-2</v>
      </c>
    </row>
    <row r="28" spans="1:15" ht="20.25" x14ac:dyDescent="0.3">
      <c r="A28" t="s">
        <v>152</v>
      </c>
      <c r="B28" t="s">
        <v>57</v>
      </c>
      <c r="C28" t="s">
        <v>149</v>
      </c>
      <c r="D28" s="9">
        <v>644</v>
      </c>
      <c r="E28">
        <v>47</v>
      </c>
      <c r="F28" s="9">
        <f>D28*E28%</f>
        <v>302.68</v>
      </c>
      <c r="G28">
        <v>1.6</v>
      </c>
      <c r="H28" s="9">
        <v>107.69</v>
      </c>
      <c r="I28" s="10">
        <f>H28/F28</f>
        <v>0.35578829126470196</v>
      </c>
      <c r="M28" s="7" t="s">
        <v>213</v>
      </c>
      <c r="N28" s="7">
        <f>COUNTIF(B:B, "건설 및 건축자재")</f>
        <v>5</v>
      </c>
      <c r="O28" s="8">
        <f t="shared" si="0"/>
        <v>5.2631578947368418E-2</v>
      </c>
    </row>
    <row r="29" spans="1:15" ht="20.25" x14ac:dyDescent="0.3">
      <c r="A29" t="s">
        <v>167</v>
      </c>
      <c r="B29" t="s">
        <v>57</v>
      </c>
      <c r="C29" t="s">
        <v>168</v>
      </c>
      <c r="D29" s="9">
        <v>927</v>
      </c>
      <c r="E29">
        <v>75.2</v>
      </c>
      <c r="F29" s="9">
        <f>D29*E29%</f>
        <v>697.10400000000004</v>
      </c>
      <c r="G29">
        <v>7.72</v>
      </c>
      <c r="H29" s="9">
        <v>48.38</v>
      </c>
      <c r="I29" s="10">
        <f>H29/F29</f>
        <v>6.9401409258876723E-2</v>
      </c>
      <c r="M29" s="7" t="s">
        <v>214</v>
      </c>
      <c r="N29" s="7">
        <f>COUNTIF(B:B, "IT서비스")</f>
        <v>8</v>
      </c>
      <c r="O29" s="8">
        <f t="shared" si="0"/>
        <v>8.4210526315789472E-2</v>
      </c>
    </row>
    <row r="30" spans="1:15" ht="20.25" x14ac:dyDescent="0.3">
      <c r="A30" t="s">
        <v>53</v>
      </c>
      <c r="B30" t="s">
        <v>54</v>
      </c>
      <c r="C30" t="s">
        <v>55</v>
      </c>
      <c r="D30" s="9">
        <v>7929</v>
      </c>
      <c r="E30">
        <v>60.8</v>
      </c>
      <c r="F30" s="9">
        <f>D30*E30%</f>
        <v>4820.8320000000003</v>
      </c>
      <c r="G30">
        <v>9</v>
      </c>
      <c r="H30" s="9">
        <v>127.05</v>
      </c>
      <c r="I30" s="10">
        <f>H30/F30</f>
        <v>2.635437202540972E-2</v>
      </c>
      <c r="M30" s="7" t="s">
        <v>215</v>
      </c>
      <c r="N30" s="7">
        <f>COUNTIF(B:B, "IT 장비 및 소재")</f>
        <v>4</v>
      </c>
      <c r="O30" s="8">
        <f t="shared" si="0"/>
        <v>4.2105263157894736E-2</v>
      </c>
    </row>
    <row r="31" spans="1:15" x14ac:dyDescent="0.3">
      <c r="A31" t="s">
        <v>75</v>
      </c>
      <c r="B31" t="s">
        <v>54</v>
      </c>
      <c r="C31" t="s">
        <v>76</v>
      </c>
      <c r="D31" s="9">
        <v>3555</v>
      </c>
      <c r="E31">
        <v>23.5</v>
      </c>
      <c r="F31" s="9">
        <f>D31*E31%</f>
        <v>835.42499999999995</v>
      </c>
      <c r="G31">
        <v>0.64</v>
      </c>
      <c r="H31" s="9">
        <v>1.53</v>
      </c>
      <c r="I31" s="10">
        <f>H31/F31</f>
        <v>1.8314031780231621E-3</v>
      </c>
    </row>
    <row r="32" spans="1:15" x14ac:dyDescent="0.3">
      <c r="A32" t="s">
        <v>92</v>
      </c>
      <c r="B32" t="s">
        <v>54</v>
      </c>
      <c r="C32" t="s">
        <v>55</v>
      </c>
      <c r="D32" s="9">
        <v>2355</v>
      </c>
      <c r="E32">
        <v>13.2</v>
      </c>
      <c r="F32" s="9">
        <f>D32*E32%</f>
        <v>310.86</v>
      </c>
      <c r="G32">
        <v>4.71</v>
      </c>
      <c r="H32" s="9">
        <v>7.4</v>
      </c>
      <c r="I32" s="10">
        <f>H32/F32</f>
        <v>2.3804928263526991E-2</v>
      </c>
    </row>
    <row r="33" spans="1:9" x14ac:dyDescent="0.3">
      <c r="A33" t="s">
        <v>72</v>
      </c>
      <c r="B33" t="s">
        <v>73</v>
      </c>
      <c r="C33" t="s">
        <v>74</v>
      </c>
      <c r="D33" s="9">
        <v>4223</v>
      </c>
      <c r="E33">
        <v>59.5</v>
      </c>
      <c r="F33" s="9">
        <f>D33*E33%</f>
        <v>2512.6849999999999</v>
      </c>
      <c r="G33">
        <v>4.58</v>
      </c>
      <c r="H33" s="9">
        <v>75.540000000000006</v>
      </c>
      <c r="I33" s="10">
        <f>H33/F33</f>
        <v>3.006345801403678E-2</v>
      </c>
    </row>
    <row r="34" spans="1:9" x14ac:dyDescent="0.3">
      <c r="A34" t="s">
        <v>166</v>
      </c>
      <c r="B34" t="s">
        <v>73</v>
      </c>
      <c r="C34" t="s">
        <v>74</v>
      </c>
      <c r="D34" s="9">
        <v>1102</v>
      </c>
      <c r="E34">
        <v>72.3</v>
      </c>
      <c r="F34" s="9">
        <f>D34*E34%</f>
        <v>796.74599999999998</v>
      </c>
      <c r="G34">
        <v>4.17</v>
      </c>
      <c r="H34" s="9">
        <v>48.3</v>
      </c>
      <c r="I34" s="10">
        <f>H34/F34</f>
        <v>6.0621578269611641E-2</v>
      </c>
    </row>
    <row r="35" spans="1:9" x14ac:dyDescent="0.3">
      <c r="A35" t="s">
        <v>39</v>
      </c>
      <c r="B35" t="s">
        <v>40</v>
      </c>
      <c r="C35" t="s">
        <v>41</v>
      </c>
      <c r="D35" s="9">
        <v>18401</v>
      </c>
      <c r="E35">
        <v>67.3</v>
      </c>
      <c r="F35" s="9">
        <f>D35*E35%</f>
        <v>12383.873</v>
      </c>
      <c r="G35">
        <v>0.81</v>
      </c>
      <c r="H35" s="9">
        <v>187.62</v>
      </c>
      <c r="I35" s="10">
        <f>H35/F35</f>
        <v>1.5150349167824961E-2</v>
      </c>
    </row>
    <row r="36" spans="1:9" x14ac:dyDescent="0.3">
      <c r="A36" t="s">
        <v>163</v>
      </c>
      <c r="B36" t="s">
        <v>40</v>
      </c>
      <c r="C36" t="s">
        <v>164</v>
      </c>
      <c r="D36" s="9">
        <v>539</v>
      </c>
      <c r="E36">
        <v>44.6</v>
      </c>
      <c r="F36" s="9">
        <f>D36*E36%</f>
        <v>240.39400000000001</v>
      </c>
      <c r="G36">
        <v>0.75</v>
      </c>
      <c r="H36" s="9">
        <v>3.3</v>
      </c>
      <c r="I36" s="10">
        <f>H36/F36</f>
        <v>1.3727464079802323E-2</v>
      </c>
    </row>
    <row r="37" spans="1:9" x14ac:dyDescent="0.3">
      <c r="A37" t="s">
        <v>27</v>
      </c>
      <c r="B37" t="s">
        <v>28</v>
      </c>
      <c r="C37" t="s">
        <v>29</v>
      </c>
      <c r="D37" s="9">
        <v>24002</v>
      </c>
      <c r="E37">
        <v>45.1</v>
      </c>
      <c r="F37" s="9">
        <f>D37*E37%</f>
        <v>10824.902</v>
      </c>
      <c r="G37">
        <v>3.58</v>
      </c>
      <c r="H37" s="9">
        <v>2374.0500000000002</v>
      </c>
      <c r="I37" s="10">
        <f>H37/F37</f>
        <v>0.21931376376432785</v>
      </c>
    </row>
    <row r="38" spans="1:9" x14ac:dyDescent="0.3">
      <c r="A38" t="s">
        <v>78</v>
      </c>
      <c r="B38" t="s">
        <v>28</v>
      </c>
      <c r="C38" t="s">
        <v>79</v>
      </c>
      <c r="D38" s="9">
        <v>2197</v>
      </c>
      <c r="E38">
        <v>35.700000000000003</v>
      </c>
      <c r="F38" s="9">
        <f>D38*E38%</f>
        <v>784.32900000000006</v>
      </c>
      <c r="G38">
        <v>2.5299999999999998</v>
      </c>
      <c r="H38" s="9">
        <v>13.97</v>
      </c>
      <c r="I38" s="10">
        <f>H38/F38</f>
        <v>1.7811403122924181E-2</v>
      </c>
    </row>
    <row r="39" spans="1:9" x14ac:dyDescent="0.3">
      <c r="A39" t="s">
        <v>77</v>
      </c>
      <c r="B39" t="s">
        <v>33</v>
      </c>
      <c r="C39" t="s">
        <v>34</v>
      </c>
      <c r="D39" s="9">
        <v>2964</v>
      </c>
      <c r="E39">
        <v>28.7</v>
      </c>
      <c r="F39" s="9">
        <f>D39*E39%</f>
        <v>850.66799999999989</v>
      </c>
      <c r="G39">
        <v>3.75</v>
      </c>
      <c r="H39" s="9">
        <v>18.68</v>
      </c>
      <c r="I39" s="10">
        <f>H39/F39</f>
        <v>2.1959213230073309E-2</v>
      </c>
    </row>
    <row r="40" spans="1:9" x14ac:dyDescent="0.3">
      <c r="A40" t="s">
        <v>102</v>
      </c>
      <c r="B40" t="s">
        <v>103</v>
      </c>
      <c r="C40" t="s">
        <v>104</v>
      </c>
      <c r="D40" s="9">
        <v>2198</v>
      </c>
      <c r="E40">
        <v>33.9</v>
      </c>
      <c r="F40" s="9">
        <f>D40*E40%</f>
        <v>745.12199999999996</v>
      </c>
      <c r="G40">
        <v>1.38</v>
      </c>
      <c r="H40" s="9">
        <v>7.42</v>
      </c>
      <c r="I40" s="10">
        <f>H40/F40</f>
        <v>9.9581008210735972E-3</v>
      </c>
    </row>
    <row r="41" spans="1:9" x14ac:dyDescent="0.3">
      <c r="A41" t="s">
        <v>156</v>
      </c>
      <c r="B41" t="s">
        <v>103</v>
      </c>
      <c r="C41" t="s">
        <v>104</v>
      </c>
      <c r="D41" s="9">
        <v>748</v>
      </c>
      <c r="E41">
        <v>67.400000000000006</v>
      </c>
      <c r="F41" s="9">
        <f>D41*E41%</f>
        <v>504.15200000000004</v>
      </c>
      <c r="G41">
        <v>0.33</v>
      </c>
      <c r="H41" s="9">
        <v>2.89</v>
      </c>
      <c r="I41" s="10">
        <f>H41/F41</f>
        <v>5.7323981656325872E-3</v>
      </c>
    </row>
    <row r="42" spans="1:9" x14ac:dyDescent="0.3">
      <c r="A42" t="s">
        <v>98</v>
      </c>
      <c r="B42" t="s">
        <v>99</v>
      </c>
      <c r="C42" t="s">
        <v>100</v>
      </c>
      <c r="D42" s="9">
        <v>2618</v>
      </c>
      <c r="E42">
        <v>44.4</v>
      </c>
      <c r="F42" s="9">
        <f>D42*E42%</f>
        <v>1162.3920000000001</v>
      </c>
      <c r="G42">
        <v>1.39</v>
      </c>
      <c r="H42" s="9">
        <v>41.39</v>
      </c>
      <c r="I42" s="10">
        <f>H42/F42</f>
        <v>3.56076091370209E-2</v>
      </c>
    </row>
    <row r="43" spans="1:9" x14ac:dyDescent="0.3">
      <c r="A43" t="s">
        <v>7</v>
      </c>
      <c r="B43" t="s">
        <v>8</v>
      </c>
      <c r="C43" t="s">
        <v>9</v>
      </c>
      <c r="D43" s="9">
        <v>1039587</v>
      </c>
      <c r="E43">
        <v>74</v>
      </c>
      <c r="F43" s="9">
        <f>D43*E43%</f>
        <v>769294.38</v>
      </c>
      <c r="G43">
        <v>3.48</v>
      </c>
      <c r="H43" s="9">
        <v>8164.63</v>
      </c>
      <c r="I43" s="10">
        <f>H43/F43</f>
        <v>1.0613141356888633E-2</v>
      </c>
    </row>
    <row r="44" spans="1:9" x14ac:dyDescent="0.3">
      <c r="A44" t="s">
        <v>50</v>
      </c>
      <c r="B44" t="s">
        <v>8</v>
      </c>
      <c r="C44" t="s">
        <v>51</v>
      </c>
      <c r="D44" s="9">
        <v>76411</v>
      </c>
      <c r="E44">
        <v>44.1</v>
      </c>
      <c r="F44" s="9">
        <f>D44*E44%</f>
        <v>33697.251000000004</v>
      </c>
      <c r="G44">
        <v>29.97</v>
      </c>
      <c r="H44" s="9">
        <v>8920.26</v>
      </c>
      <c r="I44" s="10">
        <f>H44/F44</f>
        <v>0.26471773617379052</v>
      </c>
    </row>
    <row r="45" spans="1:9" x14ac:dyDescent="0.3">
      <c r="A45" t="s">
        <v>52</v>
      </c>
      <c r="B45" t="s">
        <v>8</v>
      </c>
      <c r="C45" t="s">
        <v>9</v>
      </c>
      <c r="D45" s="9">
        <v>40593</v>
      </c>
      <c r="E45">
        <v>58.6</v>
      </c>
      <c r="F45" s="9">
        <f>D45*E45%</f>
        <v>23787.498</v>
      </c>
      <c r="G45">
        <v>11.25</v>
      </c>
      <c r="H45" s="9">
        <v>2063.64</v>
      </c>
      <c r="I45" s="10">
        <f>H45/F45</f>
        <v>8.6753133936154192E-2</v>
      </c>
    </row>
    <row r="46" spans="1:9" x14ac:dyDescent="0.3">
      <c r="A46" t="s">
        <v>82</v>
      </c>
      <c r="B46" t="s">
        <v>8</v>
      </c>
      <c r="C46" t="s">
        <v>83</v>
      </c>
      <c r="D46" s="9">
        <v>3058</v>
      </c>
      <c r="E46">
        <v>48.1</v>
      </c>
      <c r="F46" s="9">
        <f>D46*E46%</f>
        <v>1470.8980000000001</v>
      </c>
      <c r="G46">
        <v>1.68</v>
      </c>
      <c r="H46" s="9">
        <v>106.27</v>
      </c>
      <c r="I46" s="10">
        <f>H46/F46</f>
        <v>7.2248381600899581E-2</v>
      </c>
    </row>
    <row r="47" spans="1:9" x14ac:dyDescent="0.3">
      <c r="A47" t="s">
        <v>89</v>
      </c>
      <c r="B47" t="s">
        <v>8</v>
      </c>
      <c r="C47" t="s">
        <v>51</v>
      </c>
      <c r="D47" s="9">
        <v>6500</v>
      </c>
      <c r="E47">
        <v>82.3</v>
      </c>
      <c r="F47" s="9">
        <f>D47*E47%</f>
        <v>5349.5</v>
      </c>
      <c r="G47">
        <v>13.21</v>
      </c>
      <c r="H47" s="9">
        <v>534.78</v>
      </c>
      <c r="I47" s="10">
        <f>H47/F47</f>
        <v>9.9968221329096177E-2</v>
      </c>
    </row>
    <row r="48" spans="1:9" x14ac:dyDescent="0.3">
      <c r="A48" t="s">
        <v>101</v>
      </c>
      <c r="B48" t="s">
        <v>8</v>
      </c>
      <c r="C48" t="s">
        <v>51</v>
      </c>
      <c r="D48" s="9">
        <v>4828</v>
      </c>
      <c r="E48">
        <v>66</v>
      </c>
      <c r="F48" s="9">
        <f>D48*E48%</f>
        <v>3186.48</v>
      </c>
      <c r="G48">
        <v>6.09</v>
      </c>
      <c r="H48" s="9">
        <v>283.93</v>
      </c>
      <c r="I48" s="10">
        <f>H48/F48</f>
        <v>8.9104591900780794E-2</v>
      </c>
    </row>
    <row r="49" spans="1:11" x14ac:dyDescent="0.3">
      <c r="A49" t="s">
        <v>105</v>
      </c>
      <c r="B49" t="s">
        <v>8</v>
      </c>
      <c r="C49" t="s">
        <v>9</v>
      </c>
      <c r="D49" s="9">
        <v>7927</v>
      </c>
      <c r="E49">
        <v>43.3</v>
      </c>
      <c r="F49" s="9">
        <f>D49*E49%</f>
        <v>3432.3910000000001</v>
      </c>
      <c r="G49">
        <v>4.07</v>
      </c>
      <c r="H49" s="9">
        <v>1186.3399999999999</v>
      </c>
      <c r="I49" s="10">
        <f>H49/F49</f>
        <v>0.34563078623618343</v>
      </c>
    </row>
    <row r="50" spans="1:11" x14ac:dyDescent="0.3">
      <c r="A50" t="s">
        <v>108</v>
      </c>
      <c r="B50" t="s">
        <v>8</v>
      </c>
      <c r="C50" t="s">
        <v>9</v>
      </c>
      <c r="D50" s="9">
        <v>5355</v>
      </c>
      <c r="E50">
        <v>67.7</v>
      </c>
      <c r="F50" s="9">
        <f>D50*E50%</f>
        <v>3625.335</v>
      </c>
      <c r="G50">
        <v>9.56</v>
      </c>
      <c r="H50" s="9">
        <v>1610.83</v>
      </c>
      <c r="I50" s="10">
        <f>H50/F50</f>
        <v>0.44432583471596415</v>
      </c>
    </row>
    <row r="51" spans="1:11" x14ac:dyDescent="0.3">
      <c r="A51" t="s">
        <v>124</v>
      </c>
      <c r="B51" t="s">
        <v>8</v>
      </c>
      <c r="C51" t="s">
        <v>125</v>
      </c>
      <c r="D51" s="9">
        <v>2455</v>
      </c>
      <c r="E51">
        <v>52.7</v>
      </c>
      <c r="F51" s="9">
        <f>D51*E51%</f>
        <v>1293.7850000000001</v>
      </c>
      <c r="G51">
        <v>19.61</v>
      </c>
      <c r="H51" s="9">
        <v>942.16</v>
      </c>
      <c r="I51" s="10">
        <f>H51/F51</f>
        <v>0.72821991289124544</v>
      </c>
    </row>
    <row r="52" spans="1:11" x14ac:dyDescent="0.3">
      <c r="A52" t="s">
        <v>177</v>
      </c>
      <c r="B52" t="s">
        <v>8</v>
      </c>
      <c r="C52" t="s">
        <v>9</v>
      </c>
      <c r="D52" s="9">
        <v>3111</v>
      </c>
      <c r="E52">
        <v>26</v>
      </c>
      <c r="F52" s="9">
        <f>D52*E52%</f>
        <v>808.86</v>
      </c>
      <c r="G52">
        <v>7.21</v>
      </c>
      <c r="H52" s="9">
        <v>337.57</v>
      </c>
      <c r="I52" s="10">
        <f>H52/F52</f>
        <v>0.41734045446678036</v>
      </c>
    </row>
    <row r="53" spans="1:11" x14ac:dyDescent="0.3">
      <c r="A53" t="s">
        <v>178</v>
      </c>
      <c r="B53" t="s">
        <v>8</v>
      </c>
      <c r="C53" t="s">
        <v>9</v>
      </c>
      <c r="D53" s="9">
        <v>2287</v>
      </c>
      <c r="E53">
        <v>38.200000000000003</v>
      </c>
      <c r="F53" s="9">
        <f>D53*E53%</f>
        <v>873.63400000000001</v>
      </c>
      <c r="G53">
        <v>7.58</v>
      </c>
      <c r="H53" s="9">
        <v>322.97000000000003</v>
      </c>
      <c r="I53" s="10">
        <f>H53/F53</f>
        <v>0.36968570362417214</v>
      </c>
    </row>
    <row r="54" spans="1:11" x14ac:dyDescent="0.3">
      <c r="A54" t="s">
        <v>179</v>
      </c>
      <c r="B54" t="s">
        <v>8</v>
      </c>
      <c r="C54" t="s">
        <v>51</v>
      </c>
      <c r="D54" s="9">
        <v>1749</v>
      </c>
      <c r="E54">
        <v>34.700000000000003</v>
      </c>
      <c r="F54" s="9">
        <f>D54*E54%</f>
        <v>606.90300000000002</v>
      </c>
      <c r="G54">
        <v>0</v>
      </c>
      <c r="H54" s="9">
        <v>1165.77</v>
      </c>
      <c r="I54" s="10">
        <f>H54/F54</f>
        <v>1.9208506136895023</v>
      </c>
      <c r="J54" s="9">
        <v>25639</v>
      </c>
      <c r="K54" s="10">
        <f>J54/$L$2</f>
        <v>0.46565564838358153</v>
      </c>
    </row>
    <row r="55" spans="1:11" x14ac:dyDescent="0.3">
      <c r="A55" t="s">
        <v>19</v>
      </c>
      <c r="B55" t="s">
        <v>20</v>
      </c>
      <c r="C55" t="s">
        <v>21</v>
      </c>
      <c r="D55" s="9">
        <v>54065</v>
      </c>
      <c r="E55">
        <v>31.2</v>
      </c>
      <c r="F55" s="9">
        <f>D55*E55%</f>
        <v>16868.28</v>
      </c>
      <c r="G55">
        <v>3.11</v>
      </c>
      <c r="H55" s="9">
        <v>139.4</v>
      </c>
      <c r="I55" s="10">
        <f>H55/F55</f>
        <v>8.2640316617936162E-3</v>
      </c>
    </row>
    <row r="56" spans="1:11" x14ac:dyDescent="0.3">
      <c r="A56" t="s">
        <v>45</v>
      </c>
      <c r="B56" t="s">
        <v>20</v>
      </c>
      <c r="C56" t="s">
        <v>46</v>
      </c>
      <c r="D56" s="9">
        <v>18903</v>
      </c>
      <c r="E56">
        <v>51.8</v>
      </c>
      <c r="F56" s="9">
        <f>D56*E56%</f>
        <v>9791.7540000000008</v>
      </c>
      <c r="G56">
        <v>3.36</v>
      </c>
      <c r="H56" s="9">
        <v>518.29999999999995</v>
      </c>
      <c r="I56" s="10">
        <f>H56/F56</f>
        <v>5.2932293846434449E-2</v>
      </c>
    </row>
    <row r="57" spans="1:11" x14ac:dyDescent="0.3">
      <c r="A57" t="s">
        <v>170</v>
      </c>
      <c r="B57" t="s">
        <v>20</v>
      </c>
      <c r="C57" t="s">
        <v>46</v>
      </c>
      <c r="D57" s="9">
        <v>1538</v>
      </c>
      <c r="E57">
        <v>86.9</v>
      </c>
      <c r="F57" s="9">
        <f>D57*E57%</f>
        <v>1336.5220000000002</v>
      </c>
      <c r="G57">
        <v>13.9</v>
      </c>
      <c r="H57" s="9">
        <v>3223.38</v>
      </c>
      <c r="I57" s="10">
        <f>H57/F57</f>
        <v>2.4117672586010555</v>
      </c>
      <c r="J57" s="9">
        <v>3881</v>
      </c>
      <c r="K57" s="10">
        <f>J57/$L$2</f>
        <v>7.0486741736287689E-2</v>
      </c>
    </row>
    <row r="58" spans="1:11" x14ac:dyDescent="0.3">
      <c r="A58" t="s">
        <v>13</v>
      </c>
      <c r="B58" t="s">
        <v>14</v>
      </c>
      <c r="C58" t="s">
        <v>15</v>
      </c>
      <c r="D58" s="9">
        <v>37311</v>
      </c>
      <c r="E58">
        <v>58.5</v>
      </c>
      <c r="F58" s="9">
        <f>D58*E58%</f>
        <v>21826.934999999998</v>
      </c>
      <c r="G58">
        <v>3.81</v>
      </c>
      <c r="H58" s="9">
        <v>419.51</v>
      </c>
      <c r="I58" s="10">
        <f>H58/F58</f>
        <v>1.9219830910753161E-2</v>
      </c>
    </row>
    <row r="59" spans="1:11" x14ac:dyDescent="0.3">
      <c r="A59" t="s">
        <v>133</v>
      </c>
      <c r="B59" t="s">
        <v>134</v>
      </c>
      <c r="C59" t="s">
        <v>135</v>
      </c>
      <c r="D59" s="9">
        <v>1421</v>
      </c>
      <c r="E59">
        <v>51.9</v>
      </c>
      <c r="F59" s="9">
        <f>D59*E59%</f>
        <v>737.49900000000002</v>
      </c>
      <c r="G59">
        <v>4.1100000000000003</v>
      </c>
      <c r="H59" s="9">
        <v>71.28</v>
      </c>
      <c r="I59" s="10">
        <f>H59/F59</f>
        <v>9.6650978509801366E-2</v>
      </c>
    </row>
    <row r="60" spans="1:11" x14ac:dyDescent="0.3">
      <c r="A60" t="s">
        <v>136</v>
      </c>
      <c r="B60" t="s">
        <v>134</v>
      </c>
      <c r="C60" t="s">
        <v>137</v>
      </c>
      <c r="D60" s="9">
        <v>4243</v>
      </c>
      <c r="E60">
        <v>58.2</v>
      </c>
      <c r="F60" s="9">
        <f>D60*E60%</f>
        <v>2469.4260000000004</v>
      </c>
      <c r="G60">
        <v>15.84</v>
      </c>
      <c r="H60" s="9">
        <v>343.32</v>
      </c>
      <c r="I60" s="10">
        <f>H60/F60</f>
        <v>0.13902826000860116</v>
      </c>
    </row>
    <row r="61" spans="1:11" x14ac:dyDescent="0.3">
      <c r="A61" t="s">
        <v>147</v>
      </c>
      <c r="B61" t="s">
        <v>134</v>
      </c>
      <c r="C61" t="s">
        <v>137</v>
      </c>
      <c r="D61" s="9">
        <v>1190</v>
      </c>
      <c r="E61">
        <v>63</v>
      </c>
      <c r="F61" s="9">
        <f>D61*E61%</f>
        <v>749.7</v>
      </c>
      <c r="G61">
        <v>6.74</v>
      </c>
      <c r="H61" s="9">
        <v>59.41</v>
      </c>
      <c r="I61" s="10">
        <f>H61/F61</f>
        <v>7.9245031345871672E-2</v>
      </c>
    </row>
    <row r="62" spans="1:11" x14ac:dyDescent="0.3">
      <c r="A62" t="s">
        <v>150</v>
      </c>
      <c r="B62" t="s">
        <v>134</v>
      </c>
      <c r="C62" t="s">
        <v>135</v>
      </c>
      <c r="D62" s="9">
        <v>922</v>
      </c>
      <c r="E62">
        <v>48.4</v>
      </c>
      <c r="F62" s="9">
        <f>D62*E62%</f>
        <v>446.24799999999999</v>
      </c>
      <c r="G62">
        <v>3.96</v>
      </c>
      <c r="H62" s="9">
        <v>183.55</v>
      </c>
      <c r="I62" s="10">
        <f>H62/F62</f>
        <v>0.41131837005431959</v>
      </c>
    </row>
    <row r="63" spans="1:11" hidden="1" x14ac:dyDescent="0.3">
      <c r="A63" t="s">
        <v>131</v>
      </c>
      <c r="B63" t="s">
        <v>64</v>
      </c>
      <c r="C63" t="s">
        <v>132</v>
      </c>
      <c r="D63" s="9">
        <v>1301</v>
      </c>
      <c r="E63">
        <v>51</v>
      </c>
      <c r="F63" s="9">
        <f>D63*E63%</f>
        <v>663.51</v>
      </c>
      <c r="G63">
        <v>-1.72</v>
      </c>
      <c r="H63" s="9">
        <v>155.04</v>
      </c>
      <c r="I63" s="10">
        <f>H63/F63</f>
        <v>0.23366641045349731</v>
      </c>
      <c r="K63"/>
    </row>
    <row r="64" spans="1:11" x14ac:dyDescent="0.3">
      <c r="A64" t="s">
        <v>153</v>
      </c>
      <c r="B64" t="s">
        <v>134</v>
      </c>
      <c r="C64" t="s">
        <v>135</v>
      </c>
      <c r="D64" s="9">
        <v>948</v>
      </c>
      <c r="E64">
        <v>45.9</v>
      </c>
      <c r="F64" s="9">
        <f>D64*E64%</f>
        <v>435.13199999999995</v>
      </c>
      <c r="G64">
        <v>5.55</v>
      </c>
      <c r="H64" s="9">
        <v>32.520000000000003</v>
      </c>
      <c r="I64" s="10">
        <f>H64/F64</f>
        <v>7.4735942196850633E-2</v>
      </c>
    </row>
    <row r="65" spans="1:11" x14ac:dyDescent="0.3">
      <c r="A65" t="s">
        <v>165</v>
      </c>
      <c r="B65" t="s">
        <v>134</v>
      </c>
      <c r="C65" t="s">
        <v>135</v>
      </c>
      <c r="D65" s="9">
        <v>765</v>
      </c>
      <c r="E65">
        <v>55.8</v>
      </c>
      <c r="F65" s="9">
        <f>D65*E65%</f>
        <v>426.86999999999995</v>
      </c>
      <c r="G65">
        <v>6.4</v>
      </c>
      <c r="H65" s="9">
        <v>17.98</v>
      </c>
      <c r="I65" s="10">
        <f>H65/F65</f>
        <v>4.2120551924473497E-2</v>
      </c>
    </row>
    <row r="66" spans="1:11" x14ac:dyDescent="0.3">
      <c r="A66" t="s">
        <v>24</v>
      </c>
      <c r="B66" t="s">
        <v>25</v>
      </c>
      <c r="C66" t="s">
        <v>26</v>
      </c>
      <c r="D66" s="9">
        <v>31706</v>
      </c>
      <c r="E66">
        <v>65.900000000000006</v>
      </c>
      <c r="F66" s="9">
        <f>D66*E66%</f>
        <v>20894.254000000001</v>
      </c>
      <c r="G66">
        <v>2.11</v>
      </c>
      <c r="H66" s="9">
        <v>488.64</v>
      </c>
      <c r="I66" s="10">
        <f>H66/F66</f>
        <v>2.3386333869589215E-2</v>
      </c>
    </row>
    <row r="67" spans="1:11" x14ac:dyDescent="0.3">
      <c r="A67" t="s">
        <v>69</v>
      </c>
      <c r="B67" t="s">
        <v>25</v>
      </c>
      <c r="C67" t="s">
        <v>25</v>
      </c>
      <c r="D67" s="9">
        <v>32689</v>
      </c>
      <c r="E67">
        <v>36.9</v>
      </c>
      <c r="F67" s="9">
        <f>D67*E67%</f>
        <v>12062.241</v>
      </c>
      <c r="G67">
        <v>11.29</v>
      </c>
      <c r="H67" s="9">
        <v>3231.76</v>
      </c>
      <c r="I67" s="10">
        <f>H67/F67</f>
        <v>0.26792368018513313</v>
      </c>
    </row>
    <row r="68" spans="1:11" hidden="1" x14ac:dyDescent="0.3">
      <c r="A68" t="s">
        <v>141</v>
      </c>
      <c r="B68" t="s">
        <v>8</v>
      </c>
      <c r="C68" t="s">
        <v>51</v>
      </c>
      <c r="D68" s="9">
        <v>1207</v>
      </c>
      <c r="E68">
        <v>58.8</v>
      </c>
      <c r="F68" s="9">
        <f>D68*E68%</f>
        <v>709.71600000000001</v>
      </c>
      <c r="G68">
        <v>-0.15</v>
      </c>
      <c r="H68" s="9">
        <v>15.25</v>
      </c>
      <c r="I68" s="10">
        <f>H68/F68</f>
        <v>2.148746822672731E-2</v>
      </c>
      <c r="K68"/>
    </row>
    <row r="69" spans="1:11" hidden="1" x14ac:dyDescent="0.3">
      <c r="A69" t="s">
        <v>142</v>
      </c>
      <c r="B69" t="s">
        <v>143</v>
      </c>
      <c r="C69" t="s">
        <v>144</v>
      </c>
      <c r="D69" s="9">
        <v>993</v>
      </c>
      <c r="E69">
        <v>27.7</v>
      </c>
      <c r="F69" s="9">
        <f>D69*E69%</f>
        <v>275.06099999999998</v>
      </c>
      <c r="G69">
        <v>-0.22</v>
      </c>
      <c r="H69" s="9">
        <v>1.45</v>
      </c>
      <c r="I69" s="10">
        <f>H69/F69</f>
        <v>5.2715579453284913E-3</v>
      </c>
      <c r="K69"/>
    </row>
    <row r="70" spans="1:11" x14ac:dyDescent="0.3">
      <c r="A70" t="s">
        <v>84</v>
      </c>
      <c r="B70" t="s">
        <v>25</v>
      </c>
      <c r="C70" t="s">
        <v>85</v>
      </c>
      <c r="D70" s="9">
        <v>2533</v>
      </c>
      <c r="E70">
        <v>31.4</v>
      </c>
      <c r="F70" s="9">
        <f>D70*E70%</f>
        <v>795.36199999999997</v>
      </c>
      <c r="G70">
        <v>7.77</v>
      </c>
      <c r="H70" s="9">
        <v>665.64</v>
      </c>
      <c r="I70" s="10">
        <f>H70/F70</f>
        <v>0.83690193899130205</v>
      </c>
      <c r="J70" s="9">
        <v>4386</v>
      </c>
      <c r="K70" s="10">
        <f>J70/$L$2</f>
        <v>7.965855430439521E-2</v>
      </c>
    </row>
    <row r="71" spans="1:11" x14ac:dyDescent="0.3">
      <c r="A71" t="s">
        <v>10</v>
      </c>
      <c r="B71" t="s">
        <v>11</v>
      </c>
      <c r="C71" t="s">
        <v>12</v>
      </c>
      <c r="D71" s="9">
        <v>157758</v>
      </c>
      <c r="E71">
        <v>65.599999999999994</v>
      </c>
      <c r="F71" s="9">
        <f>D71*E71%</f>
        <v>103489.24799999999</v>
      </c>
      <c r="G71">
        <v>10.08</v>
      </c>
      <c r="H71" s="9">
        <v>1047.8900000000001</v>
      </c>
      <c r="I71" s="10">
        <f>H71/F71</f>
        <v>1.0125592950486994E-2</v>
      </c>
    </row>
    <row r="72" spans="1:11" x14ac:dyDescent="0.3">
      <c r="A72" t="s">
        <v>22</v>
      </c>
      <c r="B72" t="s">
        <v>11</v>
      </c>
      <c r="C72" t="s">
        <v>23</v>
      </c>
      <c r="D72" s="9">
        <v>41014</v>
      </c>
      <c r="E72">
        <v>20.2</v>
      </c>
      <c r="F72" s="9">
        <f>D72*E72%</f>
        <v>8284.8279999999995</v>
      </c>
      <c r="G72">
        <v>1.1399999999999999</v>
      </c>
      <c r="H72" s="9">
        <v>93.33</v>
      </c>
      <c r="I72" s="10">
        <f>H72/F72</f>
        <v>1.1265170502030943E-2</v>
      </c>
    </row>
    <row r="73" spans="1:11" x14ac:dyDescent="0.3">
      <c r="A73" t="s">
        <v>36</v>
      </c>
      <c r="B73" t="s">
        <v>37</v>
      </c>
      <c r="C73" t="s">
        <v>38</v>
      </c>
      <c r="D73" s="9">
        <v>24082</v>
      </c>
      <c r="E73">
        <v>46.2</v>
      </c>
      <c r="F73" s="9">
        <f>D73*E73%</f>
        <v>11125.884</v>
      </c>
      <c r="G73">
        <v>0.74</v>
      </c>
      <c r="H73" s="9">
        <v>270.25</v>
      </c>
      <c r="I73" s="10">
        <f>H73/F73</f>
        <v>2.4290204715418567E-2</v>
      </c>
    </row>
    <row r="74" spans="1:11" x14ac:dyDescent="0.3">
      <c r="A74" t="s">
        <v>66</v>
      </c>
      <c r="B74" t="s">
        <v>37</v>
      </c>
      <c r="C74" t="s">
        <v>67</v>
      </c>
      <c r="D74" s="9">
        <v>6923</v>
      </c>
      <c r="E74">
        <v>56.5</v>
      </c>
      <c r="F74" s="9">
        <f>D74*E74%</f>
        <v>3911.4949999999994</v>
      </c>
      <c r="G74">
        <v>6.25</v>
      </c>
      <c r="H74" s="9">
        <v>52.33</v>
      </c>
      <c r="I74" s="10">
        <f>H74/F74</f>
        <v>1.337851639846146E-2</v>
      </c>
    </row>
    <row r="75" spans="1:11" x14ac:dyDescent="0.3">
      <c r="A75" t="s">
        <v>80</v>
      </c>
      <c r="B75" t="s">
        <v>37</v>
      </c>
      <c r="C75" t="s">
        <v>81</v>
      </c>
      <c r="D75" s="9">
        <v>3212</v>
      </c>
      <c r="E75">
        <v>93.8</v>
      </c>
      <c r="F75" s="9">
        <f>D75*E75%</f>
        <v>3012.8559999999998</v>
      </c>
      <c r="G75">
        <v>19.940000000000001</v>
      </c>
      <c r="H75" s="9">
        <v>619.6</v>
      </c>
      <c r="I75" s="10">
        <f>H75/F75</f>
        <v>0.20565204576654181</v>
      </c>
    </row>
    <row r="76" spans="1:11" x14ac:dyDescent="0.3">
      <c r="A76" t="s">
        <v>116</v>
      </c>
      <c r="B76" t="s">
        <v>37</v>
      </c>
      <c r="C76" t="s">
        <v>38</v>
      </c>
      <c r="D76" s="9">
        <v>2274</v>
      </c>
      <c r="E76">
        <v>48.2</v>
      </c>
      <c r="F76" s="9">
        <f>D76*E76%</f>
        <v>1096.068</v>
      </c>
      <c r="G76">
        <v>29.94</v>
      </c>
      <c r="H76" s="9">
        <v>1106.8900000000001</v>
      </c>
      <c r="I76" s="10">
        <f>H76/F76</f>
        <v>1.0098734750033758</v>
      </c>
    </row>
    <row r="77" spans="1:11" x14ac:dyDescent="0.3">
      <c r="A77" t="s">
        <v>127</v>
      </c>
      <c r="B77" t="s">
        <v>37</v>
      </c>
      <c r="C77" t="s">
        <v>128</v>
      </c>
      <c r="D77" s="9">
        <v>1751</v>
      </c>
      <c r="E77">
        <v>28.3</v>
      </c>
      <c r="F77" s="9">
        <f>D77*E77%</f>
        <v>495.53300000000007</v>
      </c>
      <c r="G77">
        <v>6.76</v>
      </c>
      <c r="H77" s="9">
        <v>27.15</v>
      </c>
      <c r="I77" s="10">
        <f>H77/F77</f>
        <v>5.478948929738281E-2</v>
      </c>
    </row>
    <row r="78" spans="1:11" x14ac:dyDescent="0.3">
      <c r="A78" t="s">
        <v>16</v>
      </c>
      <c r="B78" t="s">
        <v>17</v>
      </c>
      <c r="C78" t="s">
        <v>18</v>
      </c>
      <c r="D78" s="9">
        <v>45756</v>
      </c>
      <c r="E78">
        <v>73.2</v>
      </c>
      <c r="F78" s="9">
        <f>D78*E78%</f>
        <v>33493.392</v>
      </c>
      <c r="G78">
        <v>1.31</v>
      </c>
      <c r="H78" s="9">
        <v>129.41999999999999</v>
      </c>
      <c r="I78" s="10">
        <f>H78/F78</f>
        <v>3.8640457795376471E-3</v>
      </c>
    </row>
    <row r="79" spans="1:11" x14ac:dyDescent="0.3">
      <c r="A79" t="s">
        <v>119</v>
      </c>
      <c r="B79" t="s">
        <v>17</v>
      </c>
      <c r="C79" t="s">
        <v>120</v>
      </c>
      <c r="D79" s="9">
        <v>382</v>
      </c>
      <c r="E79">
        <v>72.7</v>
      </c>
      <c r="F79" s="9">
        <f>D79*E79%</f>
        <v>277.714</v>
      </c>
      <c r="G79">
        <v>11.17</v>
      </c>
      <c r="H79" s="9">
        <v>140.99</v>
      </c>
      <c r="I79" s="10">
        <f>H79/F79</f>
        <v>0.50768056345736989</v>
      </c>
    </row>
    <row r="80" spans="1:11" x14ac:dyDescent="0.3">
      <c r="A80" t="s">
        <v>139</v>
      </c>
      <c r="B80" t="s">
        <v>17</v>
      </c>
      <c r="C80" t="s">
        <v>140</v>
      </c>
      <c r="D80" s="9">
        <v>1127</v>
      </c>
      <c r="E80">
        <v>79.099999999999994</v>
      </c>
      <c r="F80" s="9">
        <f>D80*E80%</f>
        <v>891.45699999999988</v>
      </c>
      <c r="G80">
        <v>21.83</v>
      </c>
      <c r="H80" s="9">
        <v>577.27</v>
      </c>
      <c r="I80" s="10">
        <f>H80/F80</f>
        <v>0.64755787435625056</v>
      </c>
    </row>
    <row r="81" spans="1:11" x14ac:dyDescent="0.3">
      <c r="A81" t="s">
        <v>172</v>
      </c>
      <c r="B81" t="s">
        <v>17</v>
      </c>
      <c r="C81" t="s">
        <v>173</v>
      </c>
      <c r="D81" s="9">
        <v>318</v>
      </c>
      <c r="E81">
        <v>48.6</v>
      </c>
      <c r="F81" s="9">
        <f>D81*E81%</f>
        <v>154.548</v>
      </c>
      <c r="G81">
        <v>2.11</v>
      </c>
      <c r="H81" s="9">
        <v>2.2599999999999998</v>
      </c>
      <c r="I81" s="10">
        <f>H81/F81</f>
        <v>1.4623288557600226E-2</v>
      </c>
    </row>
    <row r="82" spans="1:11" hidden="1" x14ac:dyDescent="0.3">
      <c r="A82" t="s">
        <v>160</v>
      </c>
      <c r="B82" t="s">
        <v>25</v>
      </c>
      <c r="C82" t="s">
        <v>25</v>
      </c>
      <c r="D82" s="9">
        <v>1252</v>
      </c>
      <c r="E82">
        <v>58.5</v>
      </c>
      <c r="F82" s="9">
        <f>D82*E82%</f>
        <v>732.42</v>
      </c>
      <c r="G82">
        <v>-6.67</v>
      </c>
      <c r="H82" s="9">
        <v>122.01</v>
      </c>
      <c r="I82" s="10">
        <f>H82/F82</f>
        <v>0.16658474645695096</v>
      </c>
      <c r="K82"/>
    </row>
    <row r="83" spans="1:11" x14ac:dyDescent="0.3">
      <c r="A83" t="s">
        <v>111</v>
      </c>
      <c r="B83" t="s">
        <v>112</v>
      </c>
      <c r="C83" t="s">
        <v>113</v>
      </c>
      <c r="D83" s="9">
        <v>2731</v>
      </c>
      <c r="E83">
        <v>23.3</v>
      </c>
      <c r="F83" s="9">
        <f>D83*E83%</f>
        <v>636.32299999999998</v>
      </c>
      <c r="G83">
        <v>5.58</v>
      </c>
      <c r="H83" s="9">
        <v>498.25</v>
      </c>
      <c r="I83" s="10">
        <f>H83/F83</f>
        <v>0.78301428676945517</v>
      </c>
    </row>
    <row r="84" spans="1:11" hidden="1" x14ac:dyDescent="0.3">
      <c r="A84" t="s">
        <v>162</v>
      </c>
      <c r="B84" t="s">
        <v>143</v>
      </c>
      <c r="C84" t="s">
        <v>144</v>
      </c>
      <c r="D84" s="9">
        <v>675</v>
      </c>
      <c r="E84">
        <v>61.5</v>
      </c>
      <c r="F84" s="9">
        <f>D84*E84%</f>
        <v>415.125</v>
      </c>
      <c r="G84">
        <v>-0.53</v>
      </c>
      <c r="H84" s="9">
        <v>5.93</v>
      </c>
      <c r="I84" s="10">
        <f>H84/F84</f>
        <v>1.4284853959650706E-2</v>
      </c>
      <c r="K84"/>
    </row>
    <row r="85" spans="1:11" x14ac:dyDescent="0.3">
      <c r="A85" t="s">
        <v>117</v>
      </c>
      <c r="B85" t="s">
        <v>112</v>
      </c>
      <c r="C85" t="s">
        <v>118</v>
      </c>
      <c r="D85" s="9">
        <v>3149</v>
      </c>
      <c r="E85">
        <v>28.4</v>
      </c>
      <c r="F85" s="9">
        <f>D85*E85%</f>
        <v>894.31599999999992</v>
      </c>
      <c r="G85">
        <v>5.84</v>
      </c>
      <c r="H85" s="9">
        <v>38.47</v>
      </c>
      <c r="I85" s="10">
        <f>H85/F85</f>
        <v>4.3016115109200774E-2</v>
      </c>
    </row>
    <row r="86" spans="1:11" x14ac:dyDescent="0.3">
      <c r="A86" t="s">
        <v>138</v>
      </c>
      <c r="B86" t="s">
        <v>112</v>
      </c>
      <c r="C86" t="s">
        <v>113</v>
      </c>
      <c r="D86" s="9">
        <v>1432</v>
      </c>
      <c r="E86">
        <v>83.6</v>
      </c>
      <c r="F86" s="9">
        <f>D86*E86%</f>
        <v>1197.152</v>
      </c>
      <c r="G86">
        <v>15</v>
      </c>
      <c r="H86" s="9">
        <v>123.24</v>
      </c>
      <c r="I86" s="10">
        <f>H86/F86</f>
        <v>0.10294432118895511</v>
      </c>
    </row>
    <row r="87" spans="1:11" x14ac:dyDescent="0.3">
      <c r="A87" t="s">
        <v>146</v>
      </c>
      <c r="B87" t="s">
        <v>112</v>
      </c>
      <c r="C87" t="s">
        <v>113</v>
      </c>
      <c r="D87" s="9">
        <v>1471</v>
      </c>
      <c r="E87">
        <v>68.2</v>
      </c>
      <c r="F87" s="9">
        <f>D87*E87%</f>
        <v>1003.2220000000001</v>
      </c>
      <c r="G87">
        <v>15.44</v>
      </c>
      <c r="H87" s="9">
        <v>762.73</v>
      </c>
      <c r="I87" s="10">
        <f>H87/F87</f>
        <v>0.76028037662650938</v>
      </c>
    </row>
    <row r="88" spans="1:11" x14ac:dyDescent="0.3">
      <c r="A88" t="s">
        <v>151</v>
      </c>
      <c r="B88" t="s">
        <v>112</v>
      </c>
      <c r="C88" t="s">
        <v>113</v>
      </c>
      <c r="D88" s="9">
        <v>2488</v>
      </c>
      <c r="E88">
        <v>73.900000000000006</v>
      </c>
      <c r="F88" s="9">
        <f>D88*E88%</f>
        <v>1838.6320000000003</v>
      </c>
      <c r="G88">
        <v>14.47</v>
      </c>
      <c r="H88" s="9">
        <v>595.35</v>
      </c>
      <c r="I88" s="10">
        <f>H88/F88</f>
        <v>0.32380052125710851</v>
      </c>
    </row>
    <row r="89" spans="1:11" x14ac:dyDescent="0.3">
      <c r="A89" t="s">
        <v>154</v>
      </c>
      <c r="B89" t="s">
        <v>112</v>
      </c>
      <c r="C89" t="s">
        <v>155</v>
      </c>
      <c r="D89" s="9">
        <v>670</v>
      </c>
      <c r="E89">
        <v>59</v>
      </c>
      <c r="F89" s="9">
        <f>D89*E89%</f>
        <v>395.29999999999995</v>
      </c>
      <c r="G89">
        <v>1.04</v>
      </c>
      <c r="H89" s="9">
        <v>0.64</v>
      </c>
      <c r="I89" s="10">
        <f>H89/F89</f>
        <v>1.6190235264356187E-3</v>
      </c>
    </row>
    <row r="90" spans="1:11" x14ac:dyDescent="0.3">
      <c r="A90" t="s">
        <v>157</v>
      </c>
      <c r="B90" t="s">
        <v>112</v>
      </c>
      <c r="C90" t="s">
        <v>155</v>
      </c>
      <c r="D90" s="9">
        <v>473</v>
      </c>
      <c r="E90">
        <v>80.8</v>
      </c>
      <c r="F90" s="9">
        <f>D90*E90%</f>
        <v>382.18399999999997</v>
      </c>
      <c r="G90">
        <v>29.73</v>
      </c>
      <c r="H90" s="9">
        <v>41.58</v>
      </c>
      <c r="I90" s="10">
        <f>H90/F90</f>
        <v>0.10879576329725996</v>
      </c>
    </row>
    <row r="91" spans="1:11" hidden="1" x14ac:dyDescent="0.3">
      <c r="A91" t="s">
        <v>171</v>
      </c>
      <c r="B91" t="s">
        <v>57</v>
      </c>
      <c r="C91" t="s">
        <v>149</v>
      </c>
      <c r="D91" s="9">
        <v>368</v>
      </c>
      <c r="E91">
        <v>61.4</v>
      </c>
      <c r="F91" s="9">
        <f>D91*E91%</f>
        <v>225.952</v>
      </c>
      <c r="G91">
        <v>-3.12</v>
      </c>
      <c r="H91" s="9">
        <v>10.81</v>
      </c>
      <c r="I91" s="10">
        <f>H91/F91</f>
        <v>4.7842019543973942E-2</v>
      </c>
      <c r="K91"/>
    </row>
    <row r="92" spans="1:11" x14ac:dyDescent="0.3">
      <c r="A92" t="s">
        <v>169</v>
      </c>
      <c r="B92" t="s">
        <v>112</v>
      </c>
      <c r="C92" t="s">
        <v>113</v>
      </c>
      <c r="D92" s="9">
        <v>2137</v>
      </c>
      <c r="E92">
        <v>39.1</v>
      </c>
      <c r="F92" s="9">
        <f>D92*E92%</f>
        <v>835.56700000000001</v>
      </c>
      <c r="G92">
        <v>12.84</v>
      </c>
      <c r="H92" s="9">
        <v>342.16</v>
      </c>
      <c r="I92" s="10">
        <f>H92/F92</f>
        <v>0.4094943912337371</v>
      </c>
    </row>
    <row r="93" spans="1:11" x14ac:dyDescent="0.3">
      <c r="A93" t="s">
        <v>42</v>
      </c>
      <c r="B93" t="s">
        <v>43</v>
      </c>
      <c r="C93" t="s">
        <v>44</v>
      </c>
      <c r="D93" s="9">
        <v>51985</v>
      </c>
      <c r="E93">
        <v>70.2</v>
      </c>
      <c r="F93" s="9">
        <f>D93*E93%</f>
        <v>36493.47</v>
      </c>
      <c r="G93">
        <v>4.6500000000000004</v>
      </c>
      <c r="H93" s="9">
        <v>639.80999999999995</v>
      </c>
      <c r="I93" s="10">
        <f>H93/F93</f>
        <v>1.7532177674526427E-2</v>
      </c>
    </row>
    <row r="94" spans="1:11" x14ac:dyDescent="0.3">
      <c r="A94" t="s">
        <v>90</v>
      </c>
      <c r="B94" t="s">
        <v>43</v>
      </c>
      <c r="C94" t="s">
        <v>91</v>
      </c>
      <c r="D94" s="9">
        <v>3622</v>
      </c>
      <c r="E94">
        <v>65</v>
      </c>
      <c r="F94" s="9">
        <f>D94*E94%</f>
        <v>2354.3000000000002</v>
      </c>
      <c r="G94">
        <v>15.8</v>
      </c>
      <c r="H94" s="9">
        <v>1191.9000000000001</v>
      </c>
      <c r="I94" s="10">
        <f>H94/F94</f>
        <v>0.5062651318863356</v>
      </c>
    </row>
    <row r="95" spans="1:11" x14ac:dyDescent="0.3">
      <c r="A95" t="s">
        <v>109</v>
      </c>
      <c r="B95" t="s">
        <v>43</v>
      </c>
      <c r="C95" t="s">
        <v>110</v>
      </c>
      <c r="D95" s="9">
        <v>5321</v>
      </c>
      <c r="E95">
        <v>66</v>
      </c>
      <c r="F95" s="9">
        <f>D95*E95%</f>
        <v>3511.86</v>
      </c>
      <c r="G95">
        <v>5.98</v>
      </c>
      <c r="H95" s="9">
        <v>3457.81</v>
      </c>
      <c r="I95" s="10">
        <f>H95/F95</f>
        <v>0.98460929535915431</v>
      </c>
    </row>
    <row r="96" spans="1:11" x14ac:dyDescent="0.3">
      <c r="A96" t="s">
        <v>114</v>
      </c>
      <c r="B96" t="s">
        <v>43</v>
      </c>
      <c r="C96" t="s">
        <v>91</v>
      </c>
      <c r="D96" s="9">
        <v>2634</v>
      </c>
      <c r="E96">
        <v>77.5</v>
      </c>
      <c r="F96" s="9">
        <f>D96*E96%</f>
        <v>2041.3500000000001</v>
      </c>
      <c r="G96">
        <v>5.97</v>
      </c>
      <c r="H96" s="9">
        <v>106.52</v>
      </c>
      <c r="I96" s="10">
        <f>H96/F96</f>
        <v>5.2181154628064753E-2</v>
      </c>
      <c r="J96" s="9">
        <v>5396</v>
      </c>
      <c r="K96" s="10">
        <f>J96/$L$2</f>
        <v>9.8002179440610238E-2</v>
      </c>
    </row>
  </sheetData>
  <autoFilter ref="A1:I96">
    <filterColumn colId="6">
      <customFilters>
        <customFilter operator="greaterThanOrEqual" val="0"/>
      </customFilters>
    </filterColumn>
    <sortState ref="A2:I96">
      <sortCondition descending="1" ref="B1:B96"/>
    </sortState>
  </autoFilter>
  <phoneticPr fontId="18" type="noConversion"/>
  <conditionalFormatting sqref="I1">
    <cfRule type="top10" dxfId="13" priority="15" percent="1" rank="30"/>
  </conditionalFormatting>
  <conditionalFormatting sqref="I1">
    <cfRule type="top10" dxfId="12" priority="14" percent="1" rank="30"/>
  </conditionalFormatting>
  <conditionalFormatting sqref="I1">
    <cfRule type="top10" dxfId="11" priority="13" percent="1" rank="30"/>
  </conditionalFormatting>
  <conditionalFormatting sqref="I1">
    <cfRule type="top10" dxfId="10" priority="11" percent="1" rank="30"/>
    <cfRule type="top10" dxfId="9" priority="12" percent="1" rank="30"/>
  </conditionalFormatting>
  <conditionalFormatting sqref="I1">
    <cfRule type="top10" dxfId="8" priority="10" percent="1" rank="30"/>
  </conditionalFormatting>
  <conditionalFormatting sqref="I1">
    <cfRule type="top10" dxfId="7" priority="9" percent="1" rank="30"/>
  </conditionalFormatting>
  <conditionalFormatting sqref="I1">
    <cfRule type="top10" dxfId="6" priority="8" percent="1" rank="30"/>
  </conditionalFormatting>
  <conditionalFormatting sqref="I1">
    <cfRule type="top10" dxfId="5" priority="7" percent="1" rank="30"/>
  </conditionalFormatting>
  <conditionalFormatting sqref="I1">
    <cfRule type="top10" dxfId="4" priority="6" percent="1" rank="30"/>
  </conditionalFormatting>
  <conditionalFormatting sqref="I1">
    <cfRule type="top10" dxfId="3" priority="5" percent="1" rank="30"/>
  </conditionalFormatting>
  <conditionalFormatting sqref="I1">
    <cfRule type="top10" dxfId="2" priority="4" percent="1" rank="30"/>
  </conditionalFormatting>
  <conditionalFormatting sqref="O2:O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{7BE1DB85-0C87-46E9-8242-C713518DA1D4}</x14:id>
        </ext>
      </extLst>
    </cfRule>
  </conditionalFormatting>
  <conditionalFormatting sqref="I2:I96">
    <cfRule type="top10" dxfId="1" priority="2" percent="1" rank="30"/>
  </conditionalFormatting>
  <conditionalFormatting sqref="I2:I96">
    <cfRule type="top10" dxfId="0" priority="1" percent="1" rank="3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E1DB85-0C87-46E9-8242-C713518DA1D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O2:O30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20240210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2024-02-10T03:22:50Z</dcterms:created>
  <dcterms:modified xsi:type="dcterms:W3CDTF">2024-02-10T03:23:20Z</dcterms:modified>
</cp:coreProperties>
</file>