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wis\OneDrive\바탕 화면\NP\트레이더용\"/>
    </mc:Choice>
  </mc:AlternateContent>
  <xr:revisionPtr revIDLastSave="0" documentId="8_{739F8C25-B6A0-4441-B531-4F13E9AB3DA1}" xr6:coauthVersionLast="43" xr6:coauthVersionMax="43" xr10:uidLastSave="{00000000-0000-0000-0000-000000000000}"/>
  <bookViews>
    <workbookView xWindow="-38520" yWindow="-120" windowWidth="38640" windowHeight="21840"/>
  </bookViews>
  <sheets>
    <sheet name="20240120" sheetId="1" r:id="rId1"/>
  </sheets>
  <definedNames>
    <definedName name="_xlnm._FilterDatabase" localSheetId="0" hidden="1">'20240120'!$A$1:$I$113</definedName>
  </definedNames>
  <calcPr calcId="0"/>
</workbook>
</file>

<file path=xl/calcChain.xml><?xml version="1.0" encoding="utf-8"?>
<calcChain xmlns="http://schemas.openxmlformats.org/spreadsheetml/2006/main">
  <c r="K104" i="1" l="1"/>
  <c r="K57" i="1"/>
  <c r="K50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O16" i="1" s="1"/>
  <c r="N15" i="1"/>
  <c r="N14" i="1"/>
  <c r="N13" i="1"/>
  <c r="N12" i="1"/>
  <c r="N11" i="1"/>
  <c r="N10" i="1"/>
  <c r="O10" i="1" s="1"/>
  <c r="N9" i="1"/>
  <c r="N8" i="1"/>
  <c r="N7" i="1"/>
  <c r="N6" i="1"/>
  <c r="O6" i="1" s="1"/>
  <c r="N5" i="1"/>
  <c r="O5" i="1" s="1"/>
  <c r="N4" i="1"/>
  <c r="O4" i="1" s="1"/>
  <c r="N3" i="1"/>
  <c r="O3" i="1" s="1"/>
  <c r="N2" i="1"/>
  <c r="I72" i="1"/>
  <c r="I73" i="1"/>
  <c r="I35" i="1"/>
  <c r="I74" i="1"/>
  <c r="I37" i="1"/>
  <c r="I65" i="1"/>
  <c r="I76" i="1"/>
  <c r="I53" i="1"/>
  <c r="I77" i="1"/>
  <c r="I19" i="1"/>
  <c r="I109" i="1"/>
  <c r="I80" i="1"/>
  <c r="I81" i="1"/>
  <c r="I27" i="1"/>
  <c r="I66" i="1"/>
  <c r="I85" i="1"/>
  <c r="I56" i="1"/>
  <c r="I90" i="1"/>
  <c r="I112" i="1"/>
  <c r="I64" i="1"/>
  <c r="I61" i="1"/>
  <c r="I96" i="1"/>
  <c r="I22" i="1"/>
  <c r="I49" i="1"/>
  <c r="I113" i="1"/>
  <c r="I70" i="1"/>
  <c r="I103" i="1"/>
  <c r="F10" i="1"/>
  <c r="I10" i="1" s="1"/>
  <c r="F7" i="1"/>
  <c r="I7" i="1" s="1"/>
  <c r="F32" i="1"/>
  <c r="I32" i="1" s="1"/>
  <c r="F33" i="1"/>
  <c r="I33" i="1" s="1"/>
  <c r="F72" i="1"/>
  <c r="F8" i="1"/>
  <c r="I8" i="1" s="1"/>
  <c r="F34" i="1"/>
  <c r="I34" i="1" s="1"/>
  <c r="F24" i="1"/>
  <c r="I24" i="1" s="1"/>
  <c r="F11" i="1"/>
  <c r="I11" i="1" s="1"/>
  <c r="F73" i="1"/>
  <c r="F35" i="1"/>
  <c r="F36" i="1"/>
  <c r="I36" i="1" s="1"/>
  <c r="F5" i="1"/>
  <c r="I5" i="1" s="1"/>
  <c r="F12" i="1"/>
  <c r="I12" i="1" s="1"/>
  <c r="F105" i="1"/>
  <c r="I105" i="1" s="1"/>
  <c r="F51" i="1"/>
  <c r="I51" i="1" s="1"/>
  <c r="F74" i="1"/>
  <c r="F63" i="1"/>
  <c r="I63" i="1" s="1"/>
  <c r="F13" i="1"/>
  <c r="I13" i="1" s="1"/>
  <c r="F23" i="1"/>
  <c r="I23" i="1" s="1"/>
  <c r="F52" i="1"/>
  <c r="I52" i="1" s="1"/>
  <c r="F37" i="1"/>
  <c r="F65" i="1"/>
  <c r="F58" i="1"/>
  <c r="I58" i="1" s="1"/>
  <c r="F3" i="1"/>
  <c r="I3" i="1" s="1"/>
  <c r="F38" i="1"/>
  <c r="I38" i="1" s="1"/>
  <c r="F106" i="1"/>
  <c r="I106" i="1" s="1"/>
  <c r="F75" i="1"/>
  <c r="I75" i="1" s="1"/>
  <c r="F76" i="1"/>
  <c r="F39" i="1"/>
  <c r="I39" i="1" s="1"/>
  <c r="F107" i="1"/>
  <c r="I107" i="1" s="1"/>
  <c r="F40" i="1"/>
  <c r="I40" i="1" s="1"/>
  <c r="F2" i="1"/>
  <c r="I2" i="1" s="1"/>
  <c r="F53" i="1"/>
  <c r="F77" i="1"/>
  <c r="F41" i="1"/>
  <c r="I41" i="1" s="1"/>
  <c r="F30" i="1"/>
  <c r="I30" i="1" s="1"/>
  <c r="F108" i="1"/>
  <c r="I108" i="1" s="1"/>
  <c r="F54" i="1"/>
  <c r="I54" i="1" s="1"/>
  <c r="F78" i="1"/>
  <c r="I78" i="1" s="1"/>
  <c r="F19" i="1"/>
  <c r="F67" i="1"/>
  <c r="I67" i="1" s="1"/>
  <c r="F79" i="1"/>
  <c r="I79" i="1" s="1"/>
  <c r="F46" i="1"/>
  <c r="I46" i="1" s="1"/>
  <c r="F68" i="1"/>
  <c r="I68" i="1" s="1"/>
  <c r="F109" i="1"/>
  <c r="F80" i="1"/>
  <c r="F28" i="1"/>
  <c r="I28" i="1" s="1"/>
  <c r="F25" i="1"/>
  <c r="I25" i="1" s="1"/>
  <c r="F26" i="1"/>
  <c r="I26" i="1" s="1"/>
  <c r="F42" i="1"/>
  <c r="I42" i="1" s="1"/>
  <c r="F43" i="1"/>
  <c r="I43" i="1" s="1"/>
  <c r="F81" i="1"/>
  <c r="F44" i="1"/>
  <c r="I44" i="1" s="1"/>
  <c r="F83" i="1"/>
  <c r="I83" i="1" s="1"/>
  <c r="F45" i="1"/>
  <c r="I45" i="1" s="1"/>
  <c r="F55" i="1"/>
  <c r="I55" i="1" s="1"/>
  <c r="F27" i="1"/>
  <c r="F66" i="1"/>
  <c r="F14" i="1"/>
  <c r="I14" i="1" s="1"/>
  <c r="F20" i="1"/>
  <c r="I20" i="1" s="1"/>
  <c r="F15" i="1"/>
  <c r="I15" i="1" s="1"/>
  <c r="F9" i="1"/>
  <c r="I9" i="1" s="1"/>
  <c r="F84" i="1"/>
  <c r="I84" i="1" s="1"/>
  <c r="F85" i="1"/>
  <c r="F59" i="1"/>
  <c r="I59" i="1" s="1"/>
  <c r="F47" i="1"/>
  <c r="I47" i="1" s="1"/>
  <c r="F88" i="1"/>
  <c r="I88" i="1" s="1"/>
  <c r="F110" i="1"/>
  <c r="I110" i="1" s="1"/>
  <c r="F56" i="1"/>
  <c r="F90" i="1"/>
  <c r="F60" i="1"/>
  <c r="I60" i="1" s="1"/>
  <c r="F91" i="1"/>
  <c r="I91" i="1" s="1"/>
  <c r="F92" i="1"/>
  <c r="I92" i="1" s="1"/>
  <c r="F6" i="1"/>
  <c r="I6" i="1" s="1"/>
  <c r="F16" i="1"/>
  <c r="I16" i="1" s="1"/>
  <c r="F112" i="1"/>
  <c r="F93" i="1"/>
  <c r="I93" i="1" s="1"/>
  <c r="F94" i="1"/>
  <c r="I94" i="1" s="1"/>
  <c r="F82" i="1"/>
  <c r="I82" i="1" s="1"/>
  <c r="F21" i="1"/>
  <c r="I21" i="1" s="1"/>
  <c r="F64" i="1"/>
  <c r="F61" i="1"/>
  <c r="F86" i="1"/>
  <c r="I86" i="1" s="1"/>
  <c r="F87" i="1"/>
  <c r="I87" i="1" s="1"/>
  <c r="F48" i="1"/>
  <c r="I48" i="1" s="1"/>
  <c r="F89" i="1"/>
  <c r="I89" i="1" s="1"/>
  <c r="F95" i="1"/>
  <c r="I95" i="1" s="1"/>
  <c r="F96" i="1"/>
  <c r="F97" i="1"/>
  <c r="I97" i="1" s="1"/>
  <c r="F99" i="1"/>
  <c r="I99" i="1" s="1"/>
  <c r="F29" i="1"/>
  <c r="I29" i="1" s="1"/>
  <c r="F100" i="1"/>
  <c r="I100" i="1" s="1"/>
  <c r="F22" i="1"/>
  <c r="F49" i="1"/>
  <c r="F98" i="1"/>
  <c r="I98" i="1" s="1"/>
  <c r="F62" i="1"/>
  <c r="I62" i="1" s="1"/>
  <c r="F69" i="1"/>
  <c r="I69" i="1" s="1"/>
  <c r="F101" i="1"/>
  <c r="I101" i="1" s="1"/>
  <c r="F102" i="1"/>
  <c r="I102" i="1" s="1"/>
  <c r="F113" i="1"/>
  <c r="F17" i="1"/>
  <c r="I17" i="1" s="1"/>
  <c r="F4" i="1"/>
  <c r="I4" i="1" s="1"/>
  <c r="F18" i="1"/>
  <c r="I18" i="1" s="1"/>
  <c r="F50" i="1"/>
  <c r="I50" i="1" s="1"/>
  <c r="F70" i="1"/>
  <c r="F103" i="1"/>
  <c r="F71" i="1"/>
  <c r="I71" i="1" s="1"/>
  <c r="F111" i="1"/>
  <c r="I111" i="1" s="1"/>
  <c r="F104" i="1"/>
  <c r="I104" i="1" s="1"/>
  <c r="F57" i="1"/>
  <c r="I57" i="1" s="1"/>
  <c r="F31" i="1"/>
  <c r="I31" i="1" s="1"/>
  <c r="N1" i="1"/>
  <c r="O22" i="1" l="1"/>
  <c r="O28" i="1"/>
  <c r="O7" i="1"/>
  <c r="O13" i="1"/>
  <c r="O19" i="1"/>
  <c r="O25" i="1"/>
  <c r="O2" i="1"/>
  <c r="O8" i="1"/>
  <c r="O14" i="1"/>
  <c r="O20" i="1"/>
  <c r="O26" i="1"/>
  <c r="O9" i="1"/>
  <c r="O15" i="1"/>
  <c r="O21" i="1"/>
  <c r="O27" i="1"/>
  <c r="O11" i="1"/>
  <c r="O17" i="1"/>
  <c r="O23" i="1"/>
  <c r="O29" i="1"/>
  <c r="O12" i="1"/>
  <c r="O18" i="1"/>
  <c r="O24" i="1"/>
  <c r="O30" i="1"/>
</calcChain>
</file>

<file path=xl/sharedStrings.xml><?xml version="1.0" encoding="utf-8"?>
<sst xmlns="http://schemas.openxmlformats.org/spreadsheetml/2006/main" count="379" uniqueCount="228">
  <si>
    <t>회사명</t>
  </si>
  <si>
    <t>업종대</t>
  </si>
  <si>
    <t>업종소</t>
  </si>
  <si>
    <t>시가총액(억)</t>
  </si>
  <si>
    <t>유통주식 비중 (%)</t>
  </si>
  <si>
    <t>1일 등락률 (%)</t>
  </si>
  <si>
    <t>거래대금 (당일 억)</t>
  </si>
  <si>
    <t>SK하이닉스</t>
  </si>
  <si>
    <t>반도체 관련장비 및 부품</t>
  </si>
  <si>
    <t>종합 반도체</t>
  </si>
  <si>
    <t>HD한국조선해양</t>
  </si>
  <si>
    <t>조선</t>
  </si>
  <si>
    <t>동원시스템즈</t>
  </si>
  <si>
    <t>종이 및 용기</t>
  </si>
  <si>
    <t>용기 및 포장재</t>
  </si>
  <si>
    <t>원익IPS</t>
  </si>
  <si>
    <t>반도체장비</t>
  </si>
  <si>
    <t>HPSP</t>
  </si>
  <si>
    <t>더존비즈온</t>
  </si>
  <si>
    <t>IT서비스</t>
  </si>
  <si>
    <t>소프트웨어</t>
  </si>
  <si>
    <t>엔켐</t>
  </si>
  <si>
    <t>IT 장비 및 소재</t>
  </si>
  <si>
    <t>2차전지</t>
  </si>
  <si>
    <t>이오테크닉스</t>
  </si>
  <si>
    <t>파크시스템스</t>
  </si>
  <si>
    <t>의료기기 및 용품</t>
  </si>
  <si>
    <t>의료기기</t>
  </si>
  <si>
    <t>코오롱티슈진</t>
  </si>
  <si>
    <t>제약 및 바이오</t>
  </si>
  <si>
    <t>바이오</t>
  </si>
  <si>
    <t>안랩</t>
  </si>
  <si>
    <t>주성엔지니어링</t>
  </si>
  <si>
    <t>유진테크</t>
  </si>
  <si>
    <t>솔브레인홀딩스</t>
  </si>
  <si>
    <t>지주사</t>
  </si>
  <si>
    <t>HSD엔진</t>
  </si>
  <si>
    <t>조선기자재</t>
  </si>
  <si>
    <t>자화전자</t>
  </si>
  <si>
    <t>카메라모듈</t>
  </si>
  <si>
    <t>LG헬로비전</t>
  </si>
  <si>
    <t>미디어 및 엔터</t>
  </si>
  <si>
    <t>미디어</t>
  </si>
  <si>
    <t>KG이니시스</t>
  </si>
  <si>
    <t>전자결제</t>
  </si>
  <si>
    <t>휴림로봇</t>
  </si>
  <si>
    <t>기계</t>
  </si>
  <si>
    <t>산업용 로봇</t>
  </si>
  <si>
    <t>광동제약</t>
  </si>
  <si>
    <t>제약</t>
  </si>
  <si>
    <t>웅진씽크빅</t>
  </si>
  <si>
    <t>일반서비스</t>
  </si>
  <si>
    <t>교육</t>
  </si>
  <si>
    <t>나스미디어</t>
  </si>
  <si>
    <t>광고</t>
  </si>
  <si>
    <t>덕산테코피아</t>
  </si>
  <si>
    <t>반도체 부품</t>
  </si>
  <si>
    <t>이베스트투자증권</t>
  </si>
  <si>
    <t>금융</t>
  </si>
  <si>
    <t>증권</t>
  </si>
  <si>
    <t>모두투어</t>
  </si>
  <si>
    <t>레저산업</t>
  </si>
  <si>
    <t>여행</t>
  </si>
  <si>
    <t>알루코</t>
  </si>
  <si>
    <t>철강 및 비철강</t>
  </si>
  <si>
    <t>알루미늄</t>
  </si>
  <si>
    <t>네패스아크</t>
  </si>
  <si>
    <t>인터플렉스</t>
  </si>
  <si>
    <t>PCB</t>
  </si>
  <si>
    <t>케이아이엔엑스</t>
  </si>
  <si>
    <t>인터넷서비스</t>
  </si>
  <si>
    <t>신세계 I&amp;C</t>
  </si>
  <si>
    <t>시스템서비스</t>
  </si>
  <si>
    <t>케이씨</t>
  </si>
  <si>
    <t>나무가</t>
  </si>
  <si>
    <t>테크윙</t>
  </si>
  <si>
    <t>에이스테크</t>
  </si>
  <si>
    <t>통신</t>
  </si>
  <si>
    <t>통신장비</t>
  </si>
  <si>
    <t>지니뮤직</t>
  </si>
  <si>
    <t>알서포트</t>
  </si>
  <si>
    <t>가온칩스</t>
  </si>
  <si>
    <t>LS네트웍스</t>
  </si>
  <si>
    <t>섬유 및 의류</t>
  </si>
  <si>
    <t>의류</t>
  </si>
  <si>
    <t>뉴프렉스</t>
  </si>
  <si>
    <t>고스트스튜디오</t>
  </si>
  <si>
    <t>게임</t>
  </si>
  <si>
    <t>스코넥</t>
  </si>
  <si>
    <t>슈프리마</t>
  </si>
  <si>
    <t>전기 및 전자기기</t>
  </si>
  <si>
    <t>보안장비</t>
  </si>
  <si>
    <t>드림어스컴퍼니</t>
  </si>
  <si>
    <t>가정용품</t>
  </si>
  <si>
    <t>가전제품</t>
  </si>
  <si>
    <t>한국전자금융</t>
  </si>
  <si>
    <t>켄코아에어로스페이스</t>
  </si>
  <si>
    <t>우주항공</t>
  </si>
  <si>
    <t>유진로봇</t>
  </si>
  <si>
    <t>우주일렉트로</t>
  </si>
  <si>
    <t>스마트폰 부품</t>
  </si>
  <si>
    <t>플리토</t>
  </si>
  <si>
    <t>에이치피오</t>
  </si>
  <si>
    <t>식음료</t>
  </si>
  <si>
    <t>식료품</t>
  </si>
  <si>
    <t>한컴라이프케어</t>
  </si>
  <si>
    <t>의료용품</t>
  </si>
  <si>
    <t>신흥</t>
  </si>
  <si>
    <t>매커스</t>
  </si>
  <si>
    <t>반도체 유통</t>
  </si>
  <si>
    <t>지오엘리먼트</t>
  </si>
  <si>
    <t>리파인</t>
  </si>
  <si>
    <t>보안서비스</t>
  </si>
  <si>
    <t>큐알티</t>
  </si>
  <si>
    <t>MDS테크</t>
  </si>
  <si>
    <t>제주반도체</t>
  </si>
  <si>
    <t>반도체 설계</t>
  </si>
  <si>
    <t>포바이포</t>
  </si>
  <si>
    <t>한국공항</t>
  </si>
  <si>
    <t>운송 및 물류</t>
  </si>
  <si>
    <t>운송인프라</t>
  </si>
  <si>
    <t>DSC인베스트먼트</t>
  </si>
  <si>
    <t>기타 금융</t>
  </si>
  <si>
    <t>중앙백신</t>
  </si>
  <si>
    <t>동물용의약품</t>
  </si>
  <si>
    <t>가온전선</t>
  </si>
  <si>
    <t>케이블</t>
  </si>
  <si>
    <t>녹십자웰빙</t>
  </si>
  <si>
    <t>깨끗한나라</t>
  </si>
  <si>
    <t>종이</t>
  </si>
  <si>
    <t>한컴위드</t>
  </si>
  <si>
    <t>이스트소프트</t>
  </si>
  <si>
    <t>디아이티</t>
  </si>
  <si>
    <t>디스플레이 장비 및 부품</t>
  </si>
  <si>
    <t>디스플레이 장비</t>
  </si>
  <si>
    <t>시그네틱스</t>
  </si>
  <si>
    <t>KTcs</t>
  </si>
  <si>
    <t>컨택센터</t>
  </si>
  <si>
    <t>옵트론텍</t>
  </si>
  <si>
    <t>NHN벅스</t>
  </si>
  <si>
    <t>줌인터넷</t>
  </si>
  <si>
    <t>엘티씨</t>
  </si>
  <si>
    <t>디스플레이 부품</t>
  </si>
  <si>
    <t>이삭엔지니어링</t>
  </si>
  <si>
    <t>지니언스</t>
  </si>
  <si>
    <t>신송홀딩스</t>
  </si>
  <si>
    <t>이글벳</t>
  </si>
  <si>
    <t>펨트론</t>
  </si>
  <si>
    <t>IT 소재 및 부품</t>
  </si>
  <si>
    <t>인포바인</t>
  </si>
  <si>
    <t>공인인증서</t>
  </si>
  <si>
    <t>폴라리스오피스</t>
  </si>
  <si>
    <t>동아엘텍</t>
  </si>
  <si>
    <t>에이루트</t>
  </si>
  <si>
    <t>전기장비</t>
  </si>
  <si>
    <t>스페코</t>
  </si>
  <si>
    <t>플랜트설비</t>
  </si>
  <si>
    <t>힘스</t>
  </si>
  <si>
    <t>제이씨현시스템</t>
  </si>
  <si>
    <t>전자기기</t>
  </si>
  <si>
    <t>영림원소프트랩</t>
  </si>
  <si>
    <t>KX하이텍</t>
  </si>
  <si>
    <t>링네트</t>
  </si>
  <si>
    <t>나무기술</t>
  </si>
  <si>
    <t>이글루</t>
  </si>
  <si>
    <t>포시에스</t>
  </si>
  <si>
    <t>인지소프트</t>
  </si>
  <si>
    <t>한국맥널티</t>
  </si>
  <si>
    <t>음료</t>
  </si>
  <si>
    <t>브레인즈컴퍼니</t>
  </si>
  <si>
    <t>아이디피</t>
  </si>
  <si>
    <t>저스템</t>
  </si>
  <si>
    <t>지니틱스</t>
  </si>
  <si>
    <t>제이엠티</t>
  </si>
  <si>
    <t>본느</t>
  </si>
  <si>
    <t>화장품</t>
  </si>
  <si>
    <t>린드먼아시아</t>
  </si>
  <si>
    <t>브리지텍</t>
  </si>
  <si>
    <t>웰킵스하이텍</t>
  </si>
  <si>
    <t>파워서플라이</t>
  </si>
  <si>
    <t>에이디엠코리아</t>
  </si>
  <si>
    <t>코센</t>
  </si>
  <si>
    <t>스테인리스</t>
  </si>
  <si>
    <t>대성미생물</t>
  </si>
  <si>
    <t>성우테크론</t>
  </si>
  <si>
    <t>제이준코스메틱</t>
  </si>
  <si>
    <t>비플라이소프트</t>
  </si>
  <si>
    <t>듀오백</t>
  </si>
  <si>
    <t>가구</t>
  </si>
  <si>
    <t>중앙첨단소재</t>
  </si>
  <si>
    <t>크라우드웍스</t>
  </si>
  <si>
    <t>밀리의서재</t>
  </si>
  <si>
    <t>거래대금 비율 TOP</t>
    <phoneticPr fontId="18" type="noConversion"/>
  </si>
  <si>
    <t>각 섹터합(억원)</t>
    <phoneticPr fontId="18" type="noConversion"/>
  </si>
  <si>
    <t>섹터비율</t>
    <phoneticPr fontId="18" type="noConversion"/>
  </si>
  <si>
    <t>검출 거래대금 합</t>
    <phoneticPr fontId="18" type="noConversion"/>
  </si>
  <si>
    <t>퀀트 검출 섹터 및 추이</t>
    <phoneticPr fontId="18" type="noConversion"/>
  </si>
  <si>
    <t>(개수)비중</t>
    <phoneticPr fontId="18" type="noConversion"/>
  </si>
  <si>
    <t>조정 (유통)시가총액</t>
    <phoneticPr fontId="18" type="noConversion"/>
  </si>
  <si>
    <t>화학</t>
    <phoneticPr fontId="18" type="noConversion"/>
  </si>
  <si>
    <t>통신</t>
    <phoneticPr fontId="18" type="noConversion"/>
  </si>
  <si>
    <t>철강 및 비철강</t>
    <phoneticPr fontId="18" type="noConversion"/>
  </si>
  <si>
    <t>지주사</t>
    <phoneticPr fontId="18" type="noConversion"/>
  </si>
  <si>
    <t>종이 및 용기</t>
    <phoneticPr fontId="18" type="noConversion"/>
  </si>
  <si>
    <t>조선</t>
    <phoneticPr fontId="18" type="noConversion"/>
  </si>
  <si>
    <t>제약 및 바이오</t>
    <phoneticPr fontId="18" type="noConversion"/>
  </si>
  <si>
    <t>전기 및 전자기기</t>
    <phoneticPr fontId="18" type="noConversion"/>
  </si>
  <si>
    <t>자동차 및 관련부품</t>
    <phoneticPr fontId="18" type="noConversion"/>
  </si>
  <si>
    <t>일반서비스</t>
    <phoneticPr fontId="18" type="noConversion"/>
  </si>
  <si>
    <t>의료기기 및 용품</t>
    <phoneticPr fontId="18" type="noConversion"/>
  </si>
  <si>
    <t>유틸리티</t>
    <phoneticPr fontId="18" type="noConversion"/>
  </si>
  <si>
    <t>유통</t>
    <phoneticPr fontId="18" type="noConversion"/>
  </si>
  <si>
    <t>유아동산업</t>
    <phoneticPr fontId="18" type="noConversion"/>
  </si>
  <si>
    <t>운송 및 물류</t>
    <phoneticPr fontId="18" type="noConversion"/>
  </si>
  <si>
    <t>에너지</t>
    <phoneticPr fontId="18" type="noConversion"/>
  </si>
  <si>
    <t>식음료</t>
    <phoneticPr fontId="18" type="noConversion"/>
  </si>
  <si>
    <t>섬유 및 의류</t>
    <phoneticPr fontId="18" type="noConversion"/>
  </si>
  <si>
    <t>석유 및 가스</t>
    <phoneticPr fontId="18" type="noConversion"/>
  </si>
  <si>
    <t>반도체 관련장비 및 부품</t>
    <phoneticPr fontId="18" type="noConversion"/>
  </si>
  <si>
    <t>미디어 및 엔터</t>
    <phoneticPr fontId="18" type="noConversion"/>
  </si>
  <si>
    <t>레저산업</t>
    <phoneticPr fontId="18" type="noConversion"/>
  </si>
  <si>
    <t>디스플레이 장비 및 부품</t>
    <phoneticPr fontId="18" type="noConversion"/>
  </si>
  <si>
    <t>기계</t>
    <phoneticPr fontId="18" type="noConversion"/>
  </si>
  <si>
    <t>금융</t>
    <phoneticPr fontId="18" type="noConversion"/>
  </si>
  <si>
    <t>가정용품</t>
    <phoneticPr fontId="18" type="noConversion"/>
  </si>
  <si>
    <t>건설 및 건축자재</t>
    <phoneticPr fontId="18" type="noConversion"/>
  </si>
  <si>
    <t>IT서비스</t>
    <phoneticPr fontId="18" type="noConversion"/>
  </si>
  <si>
    <t>IT 장비 및 소재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</si>
</sst>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);[Red]\(#,##0\)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33" borderId="0" xfId="1" applyNumberFormat="1" applyFont="1" applyFill="1">
      <alignment vertical="center"/>
    </xf>
    <xf numFmtId="177" fontId="0" fillId="33" borderId="0" xfId="0" applyNumberFormat="1" applyFill="1">
      <alignment vertical="center"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>
      <alignment vertical="center"/>
    </xf>
    <xf numFmtId="0" fontId="20" fillId="33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0" fontId="0" fillId="33" borderId="0" xfId="0" applyFill="1">
      <alignment vertical="center"/>
    </xf>
    <xf numFmtId="176" fontId="0" fillId="0" borderId="0" xfId="1" applyNumberFormat="1" applyFont="1">
      <alignment vertical="center"/>
    </xf>
    <xf numFmtId="0" fontId="19" fillId="0" borderId="0" xfId="0" applyFont="1">
      <alignment vertical="center"/>
    </xf>
    <xf numFmtId="176" fontId="20" fillId="0" borderId="0" xfId="1" applyNumberFormat="1" applyFont="1">
      <alignment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" xfId="1" builtinId="5"/>
    <cellStyle name="보통" xfId="9" builtinId="28" customBuiltin="1"/>
    <cellStyle name="설명 텍스트" xfId="17" builtinId="53" customBuiltin="1"/>
    <cellStyle name="셀 확인" xfId="14" builtinId="23" customBuiltin="1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13"/>
  <sheetViews>
    <sheetView tabSelected="1" workbookViewId="0">
      <pane ySplit="1" topLeftCell="A3" activePane="bottomLeft" state="frozen"/>
      <selection pane="bottomLeft" activeCell="Q1" sqref="Q1"/>
    </sheetView>
  </sheetViews>
  <sheetFormatPr defaultRowHeight="16.5" x14ac:dyDescent="0.3"/>
  <cols>
    <col min="1" max="1" width="21.375" bestFit="1" customWidth="1"/>
    <col min="2" max="2" width="23.5" bestFit="1" customWidth="1"/>
    <col min="3" max="3" width="15.875" bestFit="1" customWidth="1"/>
    <col min="4" max="4" width="12.375" style="6" bestFit="1" customWidth="1"/>
    <col min="5" max="5" width="17.625" bestFit="1" customWidth="1"/>
    <col min="6" max="6" width="19.25" style="6" bestFit="1" customWidth="1"/>
    <col min="7" max="7" width="14.625" bestFit="1" customWidth="1"/>
    <col min="8" max="8" width="17.875" style="6" bestFit="1" customWidth="1"/>
    <col min="9" max="9" width="18.5" bestFit="1" customWidth="1"/>
    <col min="10" max="10" width="15.125" style="6" bestFit="1" customWidth="1"/>
    <col min="11" max="11" width="9" style="8"/>
    <col min="12" max="12" width="16.5" style="6" bestFit="1" customWidth="1"/>
    <col min="13" max="13" width="28.375" bestFit="1" customWidth="1"/>
    <col min="14" max="14" width="5.875" bestFit="1" customWidth="1"/>
    <col min="15" max="15" width="13.25" bestFit="1" customWidth="1"/>
  </cols>
  <sheetData>
    <row r="1" spans="1:15" ht="20.25" x14ac:dyDescent="0.3">
      <c r="A1" s="7" t="s">
        <v>0</v>
      </c>
      <c r="B1" s="7" t="s">
        <v>1</v>
      </c>
      <c r="C1" s="7" t="s">
        <v>2</v>
      </c>
      <c r="D1" s="2" t="s">
        <v>3</v>
      </c>
      <c r="E1" s="7" t="s">
        <v>4</v>
      </c>
      <c r="F1" s="2" t="s">
        <v>198</v>
      </c>
      <c r="G1" s="7" t="s">
        <v>5</v>
      </c>
      <c r="H1" s="2" t="s">
        <v>6</v>
      </c>
      <c r="I1" s="1" t="s">
        <v>192</v>
      </c>
      <c r="J1" s="2" t="s">
        <v>193</v>
      </c>
      <c r="K1" s="1" t="s">
        <v>194</v>
      </c>
      <c r="L1" s="2" t="s">
        <v>195</v>
      </c>
      <c r="M1" s="3" t="s">
        <v>196</v>
      </c>
      <c r="N1" s="4">
        <f>COUNTA(A:A)-1</f>
        <v>112</v>
      </c>
      <c r="O1" s="5" t="s">
        <v>197</v>
      </c>
    </row>
    <row r="2" spans="1:15" ht="20.25" x14ac:dyDescent="0.3">
      <c r="A2" t="s">
        <v>76</v>
      </c>
      <c r="B2" t="s">
        <v>77</v>
      </c>
      <c r="C2" t="s">
        <v>78</v>
      </c>
      <c r="D2" s="6">
        <v>2252</v>
      </c>
      <c r="E2">
        <v>86.9</v>
      </c>
      <c r="F2" s="6">
        <f>D2*E2%</f>
        <v>1956.9880000000003</v>
      </c>
      <c r="G2">
        <v>6.1</v>
      </c>
      <c r="H2" s="6">
        <v>1050.71</v>
      </c>
      <c r="I2" s="8">
        <f>H2/F2</f>
        <v>0.5369016059372872</v>
      </c>
      <c r="L2" s="6">
        <v>58937</v>
      </c>
      <c r="M2" s="9" t="s">
        <v>199</v>
      </c>
      <c r="N2" s="9">
        <f>COUNTIF(B:B, "화학")</f>
        <v>0</v>
      </c>
      <c r="O2" s="10">
        <f>N2/$N$1</f>
        <v>0</v>
      </c>
    </row>
    <row r="3" spans="1:15" ht="20.25" x14ac:dyDescent="0.3">
      <c r="A3" t="s">
        <v>63</v>
      </c>
      <c r="B3" t="s">
        <v>64</v>
      </c>
      <c r="C3" t="s">
        <v>65</v>
      </c>
      <c r="D3" s="6">
        <v>3278</v>
      </c>
      <c r="E3">
        <v>53</v>
      </c>
      <c r="F3" s="6">
        <f>D3*E3%</f>
        <v>1737.3400000000001</v>
      </c>
      <c r="G3">
        <v>16.84</v>
      </c>
      <c r="H3" s="6">
        <v>644.85</v>
      </c>
      <c r="I3" s="8">
        <f>H3/F3</f>
        <v>0.37117087041108821</v>
      </c>
      <c r="M3" s="9" t="s">
        <v>200</v>
      </c>
      <c r="N3" s="9">
        <f>COUNTIF(B:B, "통신")</f>
        <v>2</v>
      </c>
      <c r="O3" s="10">
        <f t="shared" ref="O3:O30" si="0">N3/$N$1</f>
        <v>1.7857142857142856E-2</v>
      </c>
    </row>
    <row r="4" spans="1:15" ht="20.25" x14ac:dyDescent="0.3">
      <c r="A4" t="s">
        <v>181</v>
      </c>
      <c r="B4" t="s">
        <v>64</v>
      </c>
      <c r="C4" t="s">
        <v>182</v>
      </c>
      <c r="D4" s="6">
        <v>1329</v>
      </c>
      <c r="E4">
        <v>66.900000000000006</v>
      </c>
      <c r="F4" s="6">
        <f>D4*E4%</f>
        <v>889.101</v>
      </c>
      <c r="G4">
        <v>4.6900000000000004</v>
      </c>
      <c r="H4" s="6">
        <v>127.8</v>
      </c>
      <c r="I4" s="8">
        <f>H4/F4</f>
        <v>0.14374069987549221</v>
      </c>
      <c r="M4" s="9" t="s">
        <v>201</v>
      </c>
      <c r="N4" s="9">
        <f>COUNTIF(B:B, "철강 및 비철강")</f>
        <v>2</v>
      </c>
      <c r="O4" s="10">
        <f t="shared" si="0"/>
        <v>1.7857142857142856E-2</v>
      </c>
    </row>
    <row r="5" spans="1:15" ht="20.25" x14ac:dyDescent="0.3">
      <c r="A5" t="s">
        <v>34</v>
      </c>
      <c r="B5" t="s">
        <v>35</v>
      </c>
      <c r="C5" t="s">
        <v>35</v>
      </c>
      <c r="D5" s="6">
        <v>9224</v>
      </c>
      <c r="E5">
        <v>22.9</v>
      </c>
      <c r="F5" s="6">
        <f>D5*E5%</f>
        <v>2112.2959999999998</v>
      </c>
      <c r="G5">
        <v>1.85</v>
      </c>
      <c r="H5" s="6">
        <v>251.85</v>
      </c>
      <c r="I5" s="8">
        <f>H5/F5</f>
        <v>0.11923044876286279</v>
      </c>
      <c r="M5" s="9" t="s">
        <v>202</v>
      </c>
      <c r="N5" s="9">
        <f>COUNTIF(B:B, "지주사")</f>
        <v>2</v>
      </c>
      <c r="O5" s="10">
        <f t="shared" si="0"/>
        <v>1.7857142857142856E-2</v>
      </c>
    </row>
    <row r="6" spans="1:15" ht="20.25" x14ac:dyDescent="0.3">
      <c r="A6" t="s">
        <v>145</v>
      </c>
      <c r="B6" t="s">
        <v>35</v>
      </c>
      <c r="C6" t="s">
        <v>35</v>
      </c>
      <c r="D6" s="6">
        <v>1060</v>
      </c>
      <c r="E6">
        <v>32.700000000000003</v>
      </c>
      <c r="F6" s="6">
        <f>D6*E6%</f>
        <v>346.62</v>
      </c>
      <c r="G6">
        <v>13.27</v>
      </c>
      <c r="H6" s="6">
        <v>1440.99</v>
      </c>
      <c r="I6" s="8">
        <f>H6/F6</f>
        <v>4.1572615544400211</v>
      </c>
      <c r="M6" s="9" t="s">
        <v>203</v>
      </c>
      <c r="N6" s="9">
        <f>COUNTIF(B:B, "종이 및 용기")</f>
        <v>2</v>
      </c>
      <c r="O6" s="10">
        <f t="shared" si="0"/>
        <v>1.7857142857142856E-2</v>
      </c>
    </row>
    <row r="7" spans="1:15" ht="20.25" x14ac:dyDescent="0.3">
      <c r="A7" t="s">
        <v>12</v>
      </c>
      <c r="B7" t="s">
        <v>13</v>
      </c>
      <c r="C7" t="s">
        <v>14</v>
      </c>
      <c r="D7" s="6">
        <v>9872</v>
      </c>
      <c r="E7">
        <v>16.600000000000001</v>
      </c>
      <c r="F7" s="6">
        <f>D7*E7%</f>
        <v>1638.7520000000002</v>
      </c>
      <c r="G7">
        <v>0.59</v>
      </c>
      <c r="H7" s="6">
        <v>11.63</v>
      </c>
      <c r="I7" s="8">
        <f>H7/F7</f>
        <v>7.0968639550096652E-3</v>
      </c>
      <c r="M7" s="9" t="s">
        <v>204</v>
      </c>
      <c r="N7" s="9">
        <f>COUNTIF(B:B, "조선")</f>
        <v>2</v>
      </c>
      <c r="O7" s="10">
        <f t="shared" si="0"/>
        <v>1.7857142857142856E-2</v>
      </c>
    </row>
    <row r="8" spans="1:15" ht="20.25" hidden="1" x14ac:dyDescent="0.3">
      <c r="A8" t="s">
        <v>21</v>
      </c>
      <c r="B8" t="s">
        <v>22</v>
      </c>
      <c r="C8" t="s">
        <v>23</v>
      </c>
      <c r="D8" s="6">
        <v>17456</v>
      </c>
      <c r="E8">
        <v>71.099999999999994</v>
      </c>
      <c r="F8" s="6">
        <f>D8*E8%</f>
        <v>12411.215999999999</v>
      </c>
      <c r="G8">
        <v>-18.53</v>
      </c>
      <c r="H8" s="6">
        <v>8088.57</v>
      </c>
      <c r="I8" s="8">
        <f>H8/F8</f>
        <v>0.6517145459397371</v>
      </c>
      <c r="K8"/>
      <c r="M8" s="9" t="s">
        <v>205</v>
      </c>
      <c r="N8" s="9">
        <f>COUNTIF(B:B, "제약 및 바이오")</f>
        <v>7</v>
      </c>
      <c r="O8" s="10">
        <f t="shared" si="0"/>
        <v>6.25E-2</v>
      </c>
    </row>
    <row r="9" spans="1:15" ht="20.25" x14ac:dyDescent="0.3">
      <c r="A9" t="s">
        <v>128</v>
      </c>
      <c r="B9" t="s">
        <v>13</v>
      </c>
      <c r="C9" t="s">
        <v>129</v>
      </c>
      <c r="D9" s="6">
        <v>1262</v>
      </c>
      <c r="E9">
        <v>59.9</v>
      </c>
      <c r="F9" s="6">
        <f>D9*E9%</f>
        <v>755.93799999999999</v>
      </c>
      <c r="G9">
        <v>15.9</v>
      </c>
      <c r="H9" s="6">
        <v>533.28</v>
      </c>
      <c r="I9" s="8">
        <f>H9/F9</f>
        <v>0.70545468014572621</v>
      </c>
      <c r="M9" s="9" t="s">
        <v>206</v>
      </c>
      <c r="N9" s="9">
        <f>COUNTIF(B:B, "전기 및 전자기기")</f>
        <v>5</v>
      </c>
      <c r="O9" s="10">
        <f t="shared" si="0"/>
        <v>4.4642857142857144E-2</v>
      </c>
    </row>
    <row r="10" spans="1:15" ht="20.25" x14ac:dyDescent="0.3">
      <c r="A10" t="s">
        <v>10</v>
      </c>
      <c r="B10" t="s">
        <v>11</v>
      </c>
      <c r="C10" t="s">
        <v>11</v>
      </c>
      <c r="D10" s="6">
        <v>80186</v>
      </c>
      <c r="E10">
        <v>62.6</v>
      </c>
      <c r="F10" s="6">
        <f>D10*E10%</f>
        <v>50196.436000000002</v>
      </c>
      <c r="G10">
        <v>7.8</v>
      </c>
      <c r="H10" s="6">
        <v>226.21</v>
      </c>
      <c r="I10" s="8">
        <f>H10/F10</f>
        <v>4.5064952420127997E-3</v>
      </c>
      <c r="M10" s="9" t="s">
        <v>207</v>
      </c>
      <c r="N10" s="9">
        <f>COUNTIF(B:B, "자동차 및 관련부품")</f>
        <v>0</v>
      </c>
      <c r="O10" s="10">
        <f t="shared" si="0"/>
        <v>0</v>
      </c>
    </row>
    <row r="11" spans="1:15" ht="20.25" hidden="1" x14ac:dyDescent="0.3">
      <c r="A11" t="s">
        <v>28</v>
      </c>
      <c r="B11" t="s">
        <v>29</v>
      </c>
      <c r="C11" t="s">
        <v>30</v>
      </c>
      <c r="D11" s="6">
        <v>8368</v>
      </c>
      <c r="E11">
        <v>32</v>
      </c>
      <c r="F11" s="6">
        <f>D11*E11%</f>
        <v>2677.76</v>
      </c>
      <c r="G11">
        <v>-7.55</v>
      </c>
      <c r="H11" s="6">
        <v>60.7</v>
      </c>
      <c r="I11" s="8">
        <f>H11/F11</f>
        <v>2.2668200286806883E-2</v>
      </c>
      <c r="K11"/>
      <c r="M11" s="9" t="s">
        <v>208</v>
      </c>
      <c r="N11" s="9">
        <f>COUNTIF(B:B, "일반서비스")</f>
        <v>1</v>
      </c>
      <c r="O11" s="10">
        <f t="shared" si="0"/>
        <v>8.9285714285714281E-3</v>
      </c>
    </row>
    <row r="12" spans="1:15" ht="20.25" x14ac:dyDescent="0.3">
      <c r="A12" t="s">
        <v>36</v>
      </c>
      <c r="B12" t="s">
        <v>11</v>
      </c>
      <c r="C12" t="s">
        <v>37</v>
      </c>
      <c r="D12" s="6">
        <v>7083</v>
      </c>
      <c r="E12">
        <v>66.7</v>
      </c>
      <c r="F12" s="6">
        <f>D12*E12%</f>
        <v>4724.3609999999999</v>
      </c>
      <c r="G12">
        <v>3.23</v>
      </c>
      <c r="H12" s="6">
        <v>58.46</v>
      </c>
      <c r="I12" s="8">
        <f>H12/F12</f>
        <v>1.2374160230346496E-2</v>
      </c>
      <c r="M12" s="9" t="s">
        <v>209</v>
      </c>
      <c r="N12" s="9">
        <f>COUNTIF(B:B, "의료기기 및 용품")</f>
        <v>3</v>
      </c>
      <c r="O12" s="10">
        <f t="shared" si="0"/>
        <v>2.6785714285714284E-2</v>
      </c>
    </row>
    <row r="13" spans="1:15" ht="20.25" x14ac:dyDescent="0.3">
      <c r="A13" t="s">
        <v>48</v>
      </c>
      <c r="B13" t="s">
        <v>29</v>
      </c>
      <c r="C13" t="s">
        <v>49</v>
      </c>
      <c r="D13" s="6">
        <v>3837</v>
      </c>
      <c r="E13">
        <v>58.1</v>
      </c>
      <c r="F13" s="6">
        <f>D13*E13%</f>
        <v>2229.297</v>
      </c>
      <c r="G13">
        <v>7.49</v>
      </c>
      <c r="H13" s="6">
        <v>756.67</v>
      </c>
      <c r="I13" s="8">
        <f>H13/F13</f>
        <v>0.33942090264329966</v>
      </c>
      <c r="M13" s="9" t="s">
        <v>210</v>
      </c>
      <c r="N13" s="9">
        <f>COUNTIF(B:B, "유틸리티")</f>
        <v>0</v>
      </c>
      <c r="O13" s="10">
        <f t="shared" si="0"/>
        <v>0</v>
      </c>
    </row>
    <row r="14" spans="1:15" ht="20.25" x14ac:dyDescent="0.3">
      <c r="A14" t="s">
        <v>123</v>
      </c>
      <c r="B14" t="s">
        <v>29</v>
      </c>
      <c r="C14" t="s">
        <v>124</v>
      </c>
      <c r="D14" s="6">
        <v>1087</v>
      </c>
      <c r="E14">
        <v>64.900000000000006</v>
      </c>
      <c r="F14" s="6">
        <f>D14*E14%</f>
        <v>705.46300000000008</v>
      </c>
      <c r="G14">
        <v>4.6500000000000004</v>
      </c>
      <c r="H14" s="6">
        <v>48.22</v>
      </c>
      <c r="I14" s="8">
        <f>H14/F14</f>
        <v>6.8352273613215705E-2</v>
      </c>
      <c r="M14" s="9" t="s">
        <v>211</v>
      </c>
      <c r="N14" s="9">
        <f>COUNTIF(B:B, "유통")</f>
        <v>0</v>
      </c>
      <c r="O14" s="10">
        <f t="shared" si="0"/>
        <v>0</v>
      </c>
    </row>
    <row r="15" spans="1:15" ht="20.25" x14ac:dyDescent="0.3">
      <c r="A15" t="s">
        <v>127</v>
      </c>
      <c r="B15" t="s">
        <v>29</v>
      </c>
      <c r="C15" t="s">
        <v>30</v>
      </c>
      <c r="D15" s="6">
        <v>1789</v>
      </c>
      <c r="E15">
        <v>53.7</v>
      </c>
      <c r="F15" s="6">
        <f>D15*E15%</f>
        <v>960.6930000000001</v>
      </c>
      <c r="G15">
        <v>15.07</v>
      </c>
      <c r="H15" s="6">
        <v>213.98</v>
      </c>
      <c r="I15" s="8">
        <f>H15/F15</f>
        <v>0.22273504647166156</v>
      </c>
      <c r="M15" s="9" t="s">
        <v>212</v>
      </c>
      <c r="N15" s="9">
        <f>COUNTIF(B:B, "유아동산업")</f>
        <v>0</v>
      </c>
      <c r="O15" s="10">
        <f t="shared" si="0"/>
        <v>0</v>
      </c>
    </row>
    <row r="16" spans="1:15" ht="20.25" x14ac:dyDescent="0.3">
      <c r="A16" t="s">
        <v>146</v>
      </c>
      <c r="B16" t="s">
        <v>29</v>
      </c>
      <c r="C16" t="s">
        <v>124</v>
      </c>
      <c r="D16" s="6">
        <v>753</v>
      </c>
      <c r="E16">
        <v>58.7</v>
      </c>
      <c r="F16" s="6">
        <f>D16*E16%</f>
        <v>442.01100000000008</v>
      </c>
      <c r="G16">
        <v>12.45</v>
      </c>
      <c r="H16" s="6">
        <v>160.97</v>
      </c>
      <c r="I16" s="8">
        <f>H16/F16</f>
        <v>0.36417645714699404</v>
      </c>
      <c r="M16" s="9" t="s">
        <v>213</v>
      </c>
      <c r="N16" s="9">
        <f>COUNTIF(B:B, "운송 및 물류")</f>
        <v>1</v>
      </c>
      <c r="O16" s="10">
        <f t="shared" si="0"/>
        <v>8.9285714285714281E-3</v>
      </c>
    </row>
    <row r="17" spans="1:15" ht="20.25" x14ac:dyDescent="0.3">
      <c r="A17" t="s">
        <v>180</v>
      </c>
      <c r="B17" t="s">
        <v>29</v>
      </c>
      <c r="C17" t="s">
        <v>30</v>
      </c>
      <c r="D17" s="6">
        <v>497</v>
      </c>
      <c r="E17">
        <v>60.5</v>
      </c>
      <c r="F17" s="6">
        <f>D17*E17%</f>
        <v>300.685</v>
      </c>
      <c r="G17">
        <v>5.32</v>
      </c>
      <c r="H17" s="6">
        <v>10.67</v>
      </c>
      <c r="I17" s="8">
        <f>H17/F17</f>
        <v>3.5485641119443939E-2</v>
      </c>
      <c r="M17" s="9" t="s">
        <v>214</v>
      </c>
      <c r="N17" s="9">
        <f>COUNTIF(B:B, "에너지")</f>
        <v>0</v>
      </c>
      <c r="O17" s="10">
        <f t="shared" si="0"/>
        <v>0</v>
      </c>
    </row>
    <row r="18" spans="1:15" ht="20.25" x14ac:dyDescent="0.3">
      <c r="A18" t="s">
        <v>183</v>
      </c>
      <c r="B18" t="s">
        <v>29</v>
      </c>
      <c r="C18" t="s">
        <v>124</v>
      </c>
      <c r="D18" s="6">
        <v>448</v>
      </c>
      <c r="E18">
        <v>61.4</v>
      </c>
      <c r="F18" s="6">
        <f>D18*E18%</f>
        <v>275.072</v>
      </c>
      <c r="G18">
        <v>8.66</v>
      </c>
      <c r="H18" s="6">
        <v>81.62</v>
      </c>
      <c r="I18" s="8">
        <f>H18/F18</f>
        <v>0.29672231270358307</v>
      </c>
      <c r="M18" s="9" t="s">
        <v>215</v>
      </c>
      <c r="N18" s="9">
        <f>COUNTIF(B:B, "식음료")</f>
        <v>2</v>
      </c>
      <c r="O18" s="10">
        <f t="shared" si="0"/>
        <v>1.7857142857142856E-2</v>
      </c>
    </row>
    <row r="19" spans="1:15" ht="20.25" x14ac:dyDescent="0.3">
      <c r="A19" t="s">
        <v>89</v>
      </c>
      <c r="B19" t="s">
        <v>90</v>
      </c>
      <c r="C19" t="s">
        <v>91</v>
      </c>
      <c r="D19" s="6">
        <v>1759</v>
      </c>
      <c r="E19">
        <v>62.7</v>
      </c>
      <c r="F19" s="6">
        <f>D19*E19%</f>
        <v>1102.893</v>
      </c>
      <c r="G19">
        <v>2.73</v>
      </c>
      <c r="H19" s="6">
        <v>92.82</v>
      </c>
      <c r="I19" s="8">
        <f>H19/F19</f>
        <v>8.4160476129597331E-2</v>
      </c>
      <c r="M19" s="9" t="s">
        <v>216</v>
      </c>
      <c r="N19" s="9">
        <f>COUNTIF(B:B, "섬유 및 의류")</f>
        <v>1</v>
      </c>
      <c r="O19" s="10">
        <f t="shared" si="0"/>
        <v>8.9285714285714281E-3</v>
      </c>
    </row>
    <row r="20" spans="1:15" ht="20.25" x14ac:dyDescent="0.3">
      <c r="A20" t="s">
        <v>125</v>
      </c>
      <c r="B20" t="s">
        <v>90</v>
      </c>
      <c r="C20" t="s">
        <v>126</v>
      </c>
      <c r="D20" s="6">
        <v>1600</v>
      </c>
      <c r="E20">
        <v>48.1</v>
      </c>
      <c r="F20" s="6">
        <f>D20*E20%</f>
        <v>769.6</v>
      </c>
      <c r="G20">
        <v>6.62</v>
      </c>
      <c r="H20" s="6">
        <v>42.37</v>
      </c>
      <c r="I20" s="8">
        <f>H20/F20</f>
        <v>5.5054573804573799E-2</v>
      </c>
      <c r="M20" s="9" t="s">
        <v>217</v>
      </c>
      <c r="N20" s="9">
        <f>COUNTIF(B:B, "석유 및 가스")</f>
        <v>0</v>
      </c>
      <c r="O20" s="10">
        <f t="shared" si="0"/>
        <v>0</v>
      </c>
    </row>
    <row r="21" spans="1:15" ht="20.25" x14ac:dyDescent="0.3">
      <c r="A21" t="s">
        <v>153</v>
      </c>
      <c r="B21" t="s">
        <v>90</v>
      </c>
      <c r="C21" t="s">
        <v>154</v>
      </c>
      <c r="D21" s="6">
        <v>887</v>
      </c>
      <c r="E21">
        <v>86.4</v>
      </c>
      <c r="F21" s="6">
        <f>D21*E21%</f>
        <v>766.36800000000005</v>
      </c>
      <c r="G21">
        <v>3.92</v>
      </c>
      <c r="H21" s="6">
        <v>16.14</v>
      </c>
      <c r="I21" s="8">
        <f>H21/F21</f>
        <v>2.1060378303895778E-2</v>
      </c>
      <c r="M21" s="9" t="s">
        <v>218</v>
      </c>
      <c r="N21" s="9">
        <f>COUNTIF(B:B, "반도체 관련장비 및 부품")</f>
        <v>20</v>
      </c>
      <c r="O21" s="10">
        <f t="shared" si="0"/>
        <v>0.17857142857142858</v>
      </c>
    </row>
    <row r="22" spans="1:15" ht="20.25" x14ac:dyDescent="0.3">
      <c r="A22" t="s">
        <v>170</v>
      </c>
      <c r="B22" t="s">
        <v>90</v>
      </c>
      <c r="C22" t="s">
        <v>159</v>
      </c>
      <c r="D22" s="6">
        <v>462</v>
      </c>
      <c r="E22">
        <v>41.7</v>
      </c>
      <c r="F22" s="6">
        <f>D22*E22%</f>
        <v>192.65400000000002</v>
      </c>
      <c r="G22">
        <v>1.75</v>
      </c>
      <c r="H22" s="6">
        <v>1.39</v>
      </c>
      <c r="I22" s="8">
        <f>H22/F22</f>
        <v>7.2150072150072133E-3</v>
      </c>
      <c r="M22" s="9" t="s">
        <v>219</v>
      </c>
      <c r="N22" s="9">
        <f>COUNTIF(B:B, "미디어 및 엔터")</f>
        <v>7</v>
      </c>
      <c r="O22" s="10">
        <f t="shared" si="0"/>
        <v>6.25E-2</v>
      </c>
    </row>
    <row r="23" spans="1:15" ht="20.25" x14ac:dyDescent="0.3">
      <c r="A23" t="s">
        <v>50</v>
      </c>
      <c r="B23" t="s">
        <v>51</v>
      </c>
      <c r="C23" t="s">
        <v>52</v>
      </c>
      <c r="D23" s="6">
        <v>3003</v>
      </c>
      <c r="E23">
        <v>37</v>
      </c>
      <c r="F23" s="6">
        <f>D23*E23%</f>
        <v>1111.1099999999999</v>
      </c>
      <c r="G23">
        <v>2.77</v>
      </c>
      <c r="H23" s="6">
        <v>10.47</v>
      </c>
      <c r="I23" s="8">
        <f>H23/F23</f>
        <v>9.4230094230094239E-3</v>
      </c>
      <c r="M23" s="9" t="s">
        <v>220</v>
      </c>
      <c r="N23" s="9">
        <f>COUNTIF(B:B, "레저산업")</f>
        <v>1</v>
      </c>
      <c r="O23" s="10">
        <f t="shared" si="0"/>
        <v>8.9285714285714281E-3</v>
      </c>
    </row>
    <row r="24" spans="1:15" ht="20.25" x14ac:dyDescent="0.3">
      <c r="A24" t="s">
        <v>25</v>
      </c>
      <c r="B24" t="s">
        <v>26</v>
      </c>
      <c r="C24" t="s">
        <v>27</v>
      </c>
      <c r="D24" s="6">
        <v>12852</v>
      </c>
      <c r="E24">
        <v>66.3</v>
      </c>
      <c r="F24" s="6">
        <f>D24*E24%</f>
        <v>8520.8759999999984</v>
      </c>
      <c r="G24">
        <v>5.97</v>
      </c>
      <c r="H24" s="6">
        <v>120.24</v>
      </c>
      <c r="I24" s="8">
        <f>H24/F24</f>
        <v>1.4111225183889546E-2</v>
      </c>
      <c r="M24" s="9" t="s">
        <v>221</v>
      </c>
      <c r="N24" s="9">
        <f>COUNTIF(B:B, "디스플레이 장비 및 부품")</f>
        <v>5</v>
      </c>
      <c r="O24" s="10">
        <f t="shared" si="0"/>
        <v>4.4642857142857144E-2</v>
      </c>
    </row>
    <row r="25" spans="1:15" ht="20.25" x14ac:dyDescent="0.3">
      <c r="A25" t="s">
        <v>105</v>
      </c>
      <c r="B25" t="s">
        <v>26</v>
      </c>
      <c r="C25" t="s">
        <v>106</v>
      </c>
      <c r="D25" s="6">
        <v>1472</v>
      </c>
      <c r="E25">
        <v>29.9</v>
      </c>
      <c r="F25" s="6">
        <f>D25*E25%</f>
        <v>440.12799999999999</v>
      </c>
      <c r="G25">
        <v>2.31</v>
      </c>
      <c r="H25" s="6">
        <v>70.599999999999994</v>
      </c>
      <c r="I25" s="8">
        <f>H25/F25</f>
        <v>0.16040788134360912</v>
      </c>
      <c r="M25" s="9" t="s">
        <v>222</v>
      </c>
      <c r="N25" s="9">
        <f>COUNTIF(B:B, "기계")</f>
        <v>3</v>
      </c>
      <c r="O25" s="10">
        <f t="shared" si="0"/>
        <v>2.6785714285714284E-2</v>
      </c>
    </row>
    <row r="26" spans="1:15" ht="20.25" x14ac:dyDescent="0.3">
      <c r="A26" t="s">
        <v>107</v>
      </c>
      <c r="B26" t="s">
        <v>26</v>
      </c>
      <c r="C26" t="s">
        <v>106</v>
      </c>
      <c r="D26" s="6">
        <v>1364</v>
      </c>
      <c r="E26">
        <v>18.8</v>
      </c>
      <c r="F26" s="6">
        <f>D26*E26%</f>
        <v>256.43200000000002</v>
      </c>
      <c r="G26">
        <v>0.35</v>
      </c>
      <c r="H26" s="6">
        <v>0.47</v>
      </c>
      <c r="I26" s="8">
        <f>H26/F26</f>
        <v>1.8328445747800583E-3</v>
      </c>
      <c r="M26" s="9" t="s">
        <v>223</v>
      </c>
      <c r="N26" s="9">
        <f>COUNTIF(B:B, "금융")</f>
        <v>3</v>
      </c>
      <c r="O26" s="10">
        <f t="shared" si="0"/>
        <v>2.6785714285714284E-2</v>
      </c>
    </row>
    <row r="27" spans="1:15" ht="20.25" x14ac:dyDescent="0.3">
      <c r="A27" t="s">
        <v>118</v>
      </c>
      <c r="B27" t="s">
        <v>119</v>
      </c>
      <c r="C27" t="s">
        <v>120</v>
      </c>
      <c r="D27" s="6">
        <v>1713</v>
      </c>
      <c r="E27">
        <v>37.1</v>
      </c>
      <c r="F27" s="6">
        <f>D27*E27%</f>
        <v>635.52300000000002</v>
      </c>
      <c r="G27">
        <v>1.69</v>
      </c>
      <c r="H27" s="6">
        <v>13.38</v>
      </c>
      <c r="I27" s="8">
        <f>H27/F27</f>
        <v>2.1053525993551769E-2</v>
      </c>
      <c r="M27" s="9" t="s">
        <v>224</v>
      </c>
      <c r="N27" s="9">
        <f>COUNTIF(B:B, "가정용품")</f>
        <v>5</v>
      </c>
      <c r="O27" s="10">
        <f t="shared" si="0"/>
        <v>4.4642857142857144E-2</v>
      </c>
    </row>
    <row r="28" spans="1:15" ht="20.25" x14ac:dyDescent="0.3">
      <c r="A28" t="s">
        <v>102</v>
      </c>
      <c r="B28" t="s">
        <v>103</v>
      </c>
      <c r="C28" t="s">
        <v>104</v>
      </c>
      <c r="D28" s="6">
        <v>1780</v>
      </c>
      <c r="E28">
        <v>25.9</v>
      </c>
      <c r="F28" s="6">
        <f>D28*E28%</f>
        <v>461.02000000000004</v>
      </c>
      <c r="G28">
        <v>4.96</v>
      </c>
      <c r="H28" s="6">
        <v>16.89</v>
      </c>
      <c r="I28" s="8">
        <f>H28/F28</f>
        <v>3.6636154613682699E-2</v>
      </c>
      <c r="M28" s="9" t="s">
        <v>225</v>
      </c>
      <c r="N28" s="9">
        <f>COUNTIF(B:B, "건설 및 건축자재")</f>
        <v>0</v>
      </c>
      <c r="O28" s="10">
        <f t="shared" si="0"/>
        <v>0</v>
      </c>
    </row>
    <row r="29" spans="1:15" ht="20.25" x14ac:dyDescent="0.3">
      <c r="A29" t="s">
        <v>167</v>
      </c>
      <c r="B29" t="s">
        <v>103</v>
      </c>
      <c r="C29" t="s">
        <v>168</v>
      </c>
      <c r="D29" s="6">
        <v>524</v>
      </c>
      <c r="E29">
        <v>45.9</v>
      </c>
      <c r="F29" s="6">
        <f>D29*E29%</f>
        <v>240.51599999999999</v>
      </c>
      <c r="G29">
        <v>3.26</v>
      </c>
      <c r="H29" s="6">
        <v>82.31</v>
      </c>
      <c r="I29" s="8">
        <f>H29/F29</f>
        <v>0.34222255484042646</v>
      </c>
      <c r="M29" s="9" t="s">
        <v>226</v>
      </c>
      <c r="N29" s="9">
        <f>COUNTIF(B:B, "IT서비스")</f>
        <v>29</v>
      </c>
      <c r="O29" s="10">
        <f t="shared" si="0"/>
        <v>0.25892857142857145</v>
      </c>
    </row>
    <row r="30" spans="1:15" ht="20.25" x14ac:dyDescent="0.3">
      <c r="A30" t="s">
        <v>82</v>
      </c>
      <c r="B30" t="s">
        <v>83</v>
      </c>
      <c r="C30" t="s">
        <v>84</v>
      </c>
      <c r="D30" s="6">
        <v>3920</v>
      </c>
      <c r="E30">
        <v>11.4</v>
      </c>
      <c r="F30" s="6">
        <f>D30*E30%</f>
        <v>446.88</v>
      </c>
      <c r="G30">
        <v>24.84</v>
      </c>
      <c r="H30" s="6">
        <v>1120.75</v>
      </c>
      <c r="I30" s="8">
        <f>H30/F30</f>
        <v>2.5079439670605086</v>
      </c>
      <c r="M30" s="9" t="s">
        <v>227</v>
      </c>
      <c r="N30" s="9">
        <f>COUNTIF(B:B, "IT 장비 및 소재")</f>
        <v>9</v>
      </c>
      <c r="O30" s="10">
        <f t="shared" si="0"/>
        <v>8.0357142857142863E-2</v>
      </c>
    </row>
    <row r="31" spans="1:15" x14ac:dyDescent="0.3">
      <c r="A31" t="s">
        <v>7</v>
      </c>
      <c r="B31" t="s">
        <v>8</v>
      </c>
      <c r="C31" t="s">
        <v>9</v>
      </c>
      <c r="D31" s="6">
        <v>1028667</v>
      </c>
      <c r="E31">
        <v>74</v>
      </c>
      <c r="F31" s="6">
        <f>D31*E31%</f>
        <v>761213.58</v>
      </c>
      <c r="G31">
        <v>3.74</v>
      </c>
      <c r="H31" s="6">
        <v>6923.33</v>
      </c>
      <c r="I31" s="8">
        <f>H31/F31</f>
        <v>9.0951215032185843E-3</v>
      </c>
    </row>
    <row r="32" spans="1:15" x14ac:dyDescent="0.3">
      <c r="A32" t="s">
        <v>15</v>
      </c>
      <c r="B32" t="s">
        <v>8</v>
      </c>
      <c r="C32" t="s">
        <v>16</v>
      </c>
      <c r="D32" s="6">
        <v>16664</v>
      </c>
      <c r="E32">
        <v>66.099999999999994</v>
      </c>
      <c r="F32" s="6">
        <f>D32*E32%</f>
        <v>11014.903999999999</v>
      </c>
      <c r="G32">
        <v>4.95</v>
      </c>
      <c r="H32" s="6">
        <v>147.99</v>
      </c>
      <c r="I32" s="8">
        <f>H32/F32</f>
        <v>1.3435432573901691E-2</v>
      </c>
    </row>
    <row r="33" spans="1:11" x14ac:dyDescent="0.3">
      <c r="A33" t="s">
        <v>17</v>
      </c>
      <c r="B33" t="s">
        <v>8</v>
      </c>
      <c r="C33" t="s">
        <v>9</v>
      </c>
      <c r="D33" s="6">
        <v>39600</v>
      </c>
      <c r="E33">
        <v>58.5</v>
      </c>
      <c r="F33" s="6">
        <f>D33*E33%</f>
        <v>23166</v>
      </c>
      <c r="G33">
        <v>8.51</v>
      </c>
      <c r="H33" s="6">
        <v>2241.5100000000002</v>
      </c>
      <c r="I33" s="8">
        <f>H33/F33</f>
        <v>9.6758611758611765E-2</v>
      </c>
    </row>
    <row r="34" spans="1:11" x14ac:dyDescent="0.3">
      <c r="A34" t="s">
        <v>24</v>
      </c>
      <c r="B34" t="s">
        <v>8</v>
      </c>
      <c r="C34" t="s">
        <v>16</v>
      </c>
      <c r="D34" s="6">
        <v>22656</v>
      </c>
      <c r="E34">
        <v>67</v>
      </c>
      <c r="F34" s="6">
        <f>D34*E34%</f>
        <v>15179.52</v>
      </c>
      <c r="G34">
        <v>13.52</v>
      </c>
      <c r="H34" s="6">
        <v>1084.3</v>
      </c>
      <c r="I34" s="8">
        <f>H34/F34</f>
        <v>7.1431771228602739E-2</v>
      </c>
    </row>
    <row r="35" spans="1:11" x14ac:dyDescent="0.3">
      <c r="A35" t="s">
        <v>32</v>
      </c>
      <c r="B35" t="s">
        <v>8</v>
      </c>
      <c r="C35" t="s">
        <v>16</v>
      </c>
      <c r="D35" s="6">
        <v>16188</v>
      </c>
      <c r="E35">
        <v>69</v>
      </c>
      <c r="F35" s="6">
        <f>D35*E35%</f>
        <v>11169.72</v>
      </c>
      <c r="G35">
        <v>7.19</v>
      </c>
      <c r="H35" s="6">
        <v>448.52</v>
      </c>
      <c r="I35" s="8">
        <f>H35/F35</f>
        <v>4.0154990456340897E-2</v>
      </c>
    </row>
    <row r="36" spans="1:11" x14ac:dyDescent="0.3">
      <c r="A36" t="s">
        <v>33</v>
      </c>
      <c r="B36" t="s">
        <v>8</v>
      </c>
      <c r="C36" t="s">
        <v>16</v>
      </c>
      <c r="D36" s="6">
        <v>10003</v>
      </c>
      <c r="E36">
        <v>60.6</v>
      </c>
      <c r="F36" s="6">
        <f>D36*E36%</f>
        <v>6061.8180000000002</v>
      </c>
      <c r="G36">
        <v>5.43</v>
      </c>
      <c r="H36" s="6">
        <v>137.38</v>
      </c>
      <c r="I36" s="8">
        <f>H36/F36</f>
        <v>2.2663168046285782E-2</v>
      </c>
    </row>
    <row r="37" spans="1:11" x14ac:dyDescent="0.3">
      <c r="A37" t="s">
        <v>55</v>
      </c>
      <c r="B37" t="s">
        <v>8</v>
      </c>
      <c r="C37" t="s">
        <v>56</v>
      </c>
      <c r="D37" s="6">
        <v>3970</v>
      </c>
      <c r="E37">
        <v>44.2</v>
      </c>
      <c r="F37" s="6">
        <f>D37*E37%</f>
        <v>1754.74</v>
      </c>
      <c r="G37">
        <v>8.2200000000000006</v>
      </c>
      <c r="H37" s="6">
        <v>693.64</v>
      </c>
      <c r="I37" s="8">
        <f>H37/F37</f>
        <v>0.39529502946305434</v>
      </c>
    </row>
    <row r="38" spans="1:11" x14ac:dyDescent="0.3">
      <c r="A38" t="s">
        <v>66</v>
      </c>
      <c r="B38" t="s">
        <v>8</v>
      </c>
      <c r="C38" t="s">
        <v>9</v>
      </c>
      <c r="D38" s="6">
        <v>3515</v>
      </c>
      <c r="E38">
        <v>44.4</v>
      </c>
      <c r="F38" s="6">
        <f>D38*E38%</f>
        <v>1560.66</v>
      </c>
      <c r="G38">
        <v>10.96</v>
      </c>
      <c r="H38" s="6">
        <v>160.75</v>
      </c>
      <c r="I38" s="8">
        <f>H38/F38</f>
        <v>0.10300129432419616</v>
      </c>
    </row>
    <row r="39" spans="1:11" x14ac:dyDescent="0.3">
      <c r="A39" t="s">
        <v>73</v>
      </c>
      <c r="B39" t="s">
        <v>8</v>
      </c>
      <c r="C39" t="s">
        <v>16</v>
      </c>
      <c r="D39" s="6">
        <v>2799</v>
      </c>
      <c r="E39">
        <v>48.9</v>
      </c>
      <c r="F39" s="6">
        <f>D39*E39%</f>
        <v>1368.711</v>
      </c>
      <c r="G39">
        <v>7.27</v>
      </c>
      <c r="H39" s="6">
        <v>22.1</v>
      </c>
      <c r="I39" s="8">
        <f>H39/F39</f>
        <v>1.614657878836365E-2</v>
      </c>
    </row>
    <row r="40" spans="1:11" x14ac:dyDescent="0.3">
      <c r="A40" t="s">
        <v>75</v>
      </c>
      <c r="B40" t="s">
        <v>8</v>
      </c>
      <c r="C40" t="s">
        <v>16</v>
      </c>
      <c r="D40" s="6">
        <v>5454</v>
      </c>
      <c r="E40">
        <v>82.3</v>
      </c>
      <c r="F40" s="6">
        <f>D40*E40%</f>
        <v>4488.6419999999998</v>
      </c>
      <c r="G40">
        <v>13.88</v>
      </c>
      <c r="H40" s="6">
        <v>989.57</v>
      </c>
      <c r="I40" s="8">
        <f>H40/F40</f>
        <v>0.22046088772506253</v>
      </c>
    </row>
    <row r="41" spans="1:11" x14ac:dyDescent="0.3">
      <c r="A41" t="s">
        <v>81</v>
      </c>
      <c r="B41" t="s">
        <v>8</v>
      </c>
      <c r="C41" t="s">
        <v>9</v>
      </c>
      <c r="D41" s="6">
        <v>7433</v>
      </c>
      <c r="E41">
        <v>43.3</v>
      </c>
      <c r="F41" s="6">
        <f>D41*E41%</f>
        <v>3218.489</v>
      </c>
      <c r="G41">
        <v>3.52</v>
      </c>
      <c r="H41" s="6">
        <v>1249.72</v>
      </c>
      <c r="I41" s="8">
        <f>H41/F41</f>
        <v>0.38829401001525871</v>
      </c>
    </row>
    <row r="42" spans="1:11" x14ac:dyDescent="0.3">
      <c r="A42" t="s">
        <v>108</v>
      </c>
      <c r="B42" t="s">
        <v>8</v>
      </c>
      <c r="C42" t="s">
        <v>109</v>
      </c>
      <c r="D42" s="6">
        <v>2384</v>
      </c>
      <c r="E42">
        <v>52.7</v>
      </c>
      <c r="F42" s="6">
        <f>D42*E42%</f>
        <v>1256.3680000000002</v>
      </c>
      <c r="G42">
        <v>29.96</v>
      </c>
      <c r="H42" s="6">
        <v>1716.92</v>
      </c>
      <c r="I42" s="8">
        <f>H42/F42</f>
        <v>1.3665741247787271</v>
      </c>
    </row>
    <row r="43" spans="1:11" x14ac:dyDescent="0.3">
      <c r="A43" t="s">
        <v>110</v>
      </c>
      <c r="B43" t="s">
        <v>8</v>
      </c>
      <c r="C43" t="s">
        <v>9</v>
      </c>
      <c r="D43" s="6">
        <v>1625</v>
      </c>
      <c r="E43">
        <v>27.5</v>
      </c>
      <c r="F43" s="6">
        <f>D43*E43%</f>
        <v>446.87500000000006</v>
      </c>
      <c r="G43">
        <v>3.87</v>
      </c>
      <c r="H43" s="6">
        <v>16.2</v>
      </c>
      <c r="I43" s="8">
        <f>H43/F43</f>
        <v>3.6251748251748248E-2</v>
      </c>
    </row>
    <row r="44" spans="1:11" x14ac:dyDescent="0.3">
      <c r="A44" t="s">
        <v>113</v>
      </c>
      <c r="B44" t="s">
        <v>8</v>
      </c>
      <c r="C44" t="s">
        <v>9</v>
      </c>
      <c r="D44" s="6">
        <v>3021</v>
      </c>
      <c r="E44">
        <v>25.6</v>
      </c>
      <c r="F44" s="6">
        <f>D44*E44%</f>
        <v>773.37599999999998</v>
      </c>
      <c r="G44">
        <v>11.26</v>
      </c>
      <c r="H44" s="6">
        <v>1540.21</v>
      </c>
      <c r="I44" s="8">
        <f>H44/F44</f>
        <v>1.9915409839457134</v>
      </c>
    </row>
    <row r="45" spans="1:11" x14ac:dyDescent="0.3">
      <c r="A45" t="s">
        <v>115</v>
      </c>
      <c r="B45" t="s">
        <v>8</v>
      </c>
      <c r="C45" t="s">
        <v>116</v>
      </c>
      <c r="D45" s="6">
        <v>9041</v>
      </c>
      <c r="E45">
        <v>84.7</v>
      </c>
      <c r="F45" s="6">
        <f>D45*E45%</f>
        <v>7657.7269999999999</v>
      </c>
      <c r="G45">
        <v>23.53</v>
      </c>
      <c r="H45" s="6">
        <v>9519.7999999999993</v>
      </c>
      <c r="I45" s="8">
        <f>H45/F45</f>
        <v>1.2431626251497343</v>
      </c>
    </row>
    <row r="46" spans="1:11" hidden="1" x14ac:dyDescent="0.3">
      <c r="A46" t="s">
        <v>96</v>
      </c>
      <c r="B46" t="s">
        <v>46</v>
      </c>
      <c r="C46" t="s">
        <v>97</v>
      </c>
      <c r="D46" s="6">
        <v>1723</v>
      </c>
      <c r="E46">
        <v>72.099999999999994</v>
      </c>
      <c r="F46" s="6">
        <f>D46*E46%</f>
        <v>1242.2829999999999</v>
      </c>
      <c r="G46">
        <v>-9.16</v>
      </c>
      <c r="H46" s="6">
        <v>149.38</v>
      </c>
      <c r="I46" s="8">
        <f>H46/F46</f>
        <v>0.12024635288416569</v>
      </c>
      <c r="K46"/>
    </row>
    <row r="47" spans="1:11" x14ac:dyDescent="0.3">
      <c r="A47" t="s">
        <v>135</v>
      </c>
      <c r="B47" t="s">
        <v>8</v>
      </c>
      <c r="C47" t="s">
        <v>16</v>
      </c>
      <c r="D47" s="6">
        <v>1179</v>
      </c>
      <c r="E47">
        <v>64.7</v>
      </c>
      <c r="F47" s="6">
        <f>D47*E47%</f>
        <v>762.81299999999999</v>
      </c>
      <c r="G47">
        <v>17.52</v>
      </c>
      <c r="H47" s="6">
        <v>602.16</v>
      </c>
      <c r="I47" s="8">
        <f>H47/F47</f>
        <v>0.7893939930231918</v>
      </c>
    </row>
    <row r="48" spans="1:11" x14ac:dyDescent="0.3">
      <c r="A48" t="s">
        <v>161</v>
      </c>
      <c r="B48" t="s">
        <v>8</v>
      </c>
      <c r="C48" t="s">
        <v>56</v>
      </c>
      <c r="D48" s="6">
        <v>702</v>
      </c>
      <c r="E48">
        <v>65.3</v>
      </c>
      <c r="F48" s="6">
        <f>D48*E48%</f>
        <v>458.40600000000001</v>
      </c>
      <c r="G48">
        <v>6.53</v>
      </c>
      <c r="H48" s="6">
        <v>3.67</v>
      </c>
      <c r="I48" s="8">
        <f>H48/F48</f>
        <v>8.0060034118227073E-3</v>
      </c>
    </row>
    <row r="49" spans="1:11" x14ac:dyDescent="0.3">
      <c r="A49" t="s">
        <v>171</v>
      </c>
      <c r="B49" t="s">
        <v>8</v>
      </c>
      <c r="C49" t="s">
        <v>9</v>
      </c>
      <c r="D49" s="6">
        <v>963</v>
      </c>
      <c r="E49">
        <v>68</v>
      </c>
      <c r="F49" s="6">
        <f>D49*E49%</f>
        <v>654.84</v>
      </c>
      <c r="G49">
        <v>5</v>
      </c>
      <c r="H49" s="6">
        <v>15.18</v>
      </c>
      <c r="I49" s="8">
        <f>H49/F49</f>
        <v>2.3181235110866776E-2</v>
      </c>
    </row>
    <row r="50" spans="1:11" x14ac:dyDescent="0.3">
      <c r="A50" t="s">
        <v>184</v>
      </c>
      <c r="B50" t="s">
        <v>8</v>
      </c>
      <c r="C50" t="s">
        <v>16</v>
      </c>
      <c r="D50" s="6">
        <v>412</v>
      </c>
      <c r="E50">
        <v>54.4</v>
      </c>
      <c r="F50" s="6">
        <f>D50*E50%</f>
        <v>224.12800000000001</v>
      </c>
      <c r="G50">
        <v>5.88</v>
      </c>
      <c r="H50" s="6">
        <v>7.19</v>
      </c>
      <c r="I50" s="8">
        <f>H50/F50</f>
        <v>3.2079882924043401E-2</v>
      </c>
      <c r="J50" s="6">
        <v>27520</v>
      </c>
      <c r="K50" s="8">
        <f>J50/$L$2</f>
        <v>0.4669392741401836</v>
      </c>
    </row>
    <row r="51" spans="1:11" x14ac:dyDescent="0.3">
      <c r="A51" t="s">
        <v>40</v>
      </c>
      <c r="B51" t="s">
        <v>41</v>
      </c>
      <c r="C51" t="s">
        <v>42</v>
      </c>
      <c r="D51" s="6">
        <v>3454</v>
      </c>
      <c r="E51">
        <v>49.3</v>
      </c>
      <c r="F51" s="6">
        <f>D51*E51%</f>
        <v>1702.8219999999999</v>
      </c>
      <c r="G51">
        <v>3.48</v>
      </c>
      <c r="H51" s="6">
        <v>1816.97</v>
      </c>
      <c r="I51" s="8">
        <f>H51/F51</f>
        <v>1.0670346049087926</v>
      </c>
    </row>
    <row r="52" spans="1:11" x14ac:dyDescent="0.3">
      <c r="A52" t="s">
        <v>53</v>
      </c>
      <c r="B52" t="s">
        <v>41</v>
      </c>
      <c r="C52" t="s">
        <v>54</v>
      </c>
      <c r="D52" s="6">
        <v>2765</v>
      </c>
      <c r="E52">
        <v>54.5</v>
      </c>
      <c r="F52" s="6">
        <f>D52*E52%</f>
        <v>1506.9250000000002</v>
      </c>
      <c r="G52">
        <v>10.39</v>
      </c>
      <c r="H52" s="6">
        <v>50.59</v>
      </c>
      <c r="I52" s="8">
        <f>H52/F52</f>
        <v>3.3571677422565817E-2</v>
      </c>
    </row>
    <row r="53" spans="1:11" x14ac:dyDescent="0.3">
      <c r="A53" t="s">
        <v>79</v>
      </c>
      <c r="B53" t="s">
        <v>41</v>
      </c>
      <c r="C53" t="s">
        <v>42</v>
      </c>
      <c r="D53" s="6">
        <v>2028</v>
      </c>
      <c r="E53">
        <v>64</v>
      </c>
      <c r="F53" s="6">
        <f>D53*E53%</f>
        <v>1297.92</v>
      </c>
      <c r="G53">
        <v>3.71</v>
      </c>
      <c r="H53" s="6">
        <v>35.340000000000003</v>
      </c>
      <c r="I53" s="8">
        <f>H53/F53</f>
        <v>2.7228180473372783E-2</v>
      </c>
    </row>
    <row r="54" spans="1:11" x14ac:dyDescent="0.3">
      <c r="A54" t="s">
        <v>86</v>
      </c>
      <c r="B54" t="s">
        <v>41</v>
      </c>
      <c r="C54" t="s">
        <v>87</v>
      </c>
      <c r="D54" s="6">
        <v>1810</v>
      </c>
      <c r="E54">
        <v>48.2</v>
      </c>
      <c r="F54" s="6">
        <f>D54*E54%</f>
        <v>872.42000000000007</v>
      </c>
      <c r="G54">
        <v>3.65</v>
      </c>
      <c r="H54" s="6">
        <v>20.14</v>
      </c>
      <c r="I54" s="8">
        <f>H54/F54</f>
        <v>2.308521125146145E-2</v>
      </c>
    </row>
    <row r="55" spans="1:11" x14ac:dyDescent="0.3">
      <c r="A55" t="s">
        <v>117</v>
      </c>
      <c r="B55" t="s">
        <v>41</v>
      </c>
      <c r="C55" t="s">
        <v>42</v>
      </c>
      <c r="D55" s="6">
        <v>1700</v>
      </c>
      <c r="E55">
        <v>70.599999999999994</v>
      </c>
      <c r="F55" s="6">
        <f>D55*E55%</f>
        <v>1200.2</v>
      </c>
      <c r="G55">
        <v>9.9600000000000009</v>
      </c>
      <c r="H55" s="6">
        <v>645.74</v>
      </c>
      <c r="I55" s="8">
        <f>H55/F55</f>
        <v>0.53802699550074984</v>
      </c>
    </row>
    <row r="56" spans="1:11" x14ac:dyDescent="0.3">
      <c r="A56" t="s">
        <v>139</v>
      </c>
      <c r="B56" t="s">
        <v>41</v>
      </c>
      <c r="C56" t="s">
        <v>42</v>
      </c>
      <c r="D56" s="6">
        <v>712</v>
      </c>
      <c r="E56">
        <v>45.9</v>
      </c>
      <c r="F56" s="6">
        <f>D56*E56%</f>
        <v>326.80799999999999</v>
      </c>
      <c r="G56">
        <v>12.4</v>
      </c>
      <c r="H56" s="6">
        <v>426.49</v>
      </c>
      <c r="I56" s="8">
        <f>H56/F56</f>
        <v>1.3050170130474164</v>
      </c>
    </row>
    <row r="57" spans="1:11" x14ac:dyDescent="0.3">
      <c r="A57" t="s">
        <v>191</v>
      </c>
      <c r="B57" t="s">
        <v>41</v>
      </c>
      <c r="C57" t="s">
        <v>42</v>
      </c>
      <c r="D57" s="6">
        <v>2709</v>
      </c>
      <c r="E57">
        <v>60.8</v>
      </c>
      <c r="F57" s="6">
        <f>D57*E57%</f>
        <v>1647.0719999999999</v>
      </c>
      <c r="G57">
        <v>4.03</v>
      </c>
      <c r="H57" s="6">
        <v>1218.56</v>
      </c>
      <c r="I57" s="8">
        <f>H57/F57</f>
        <v>0.7398340813273494</v>
      </c>
      <c r="J57" s="6">
        <v>4214</v>
      </c>
      <c r="K57" s="8">
        <f>J57/$L$2</f>
        <v>7.1500076352715616E-2</v>
      </c>
    </row>
    <row r="58" spans="1:11" x14ac:dyDescent="0.3">
      <c r="A58" t="s">
        <v>60</v>
      </c>
      <c r="B58" t="s">
        <v>61</v>
      </c>
      <c r="C58" t="s">
        <v>62</v>
      </c>
      <c r="D58" s="6">
        <v>3083</v>
      </c>
      <c r="E58">
        <v>81.2</v>
      </c>
      <c r="F58" s="6">
        <f>D58*E58%</f>
        <v>2503.3960000000002</v>
      </c>
      <c r="G58">
        <v>2.3199999999999998</v>
      </c>
      <c r="H58" s="6">
        <v>20.5</v>
      </c>
      <c r="I58" s="8">
        <f>H58/F58</f>
        <v>8.1888762305284499E-3</v>
      </c>
    </row>
    <row r="59" spans="1:11" x14ac:dyDescent="0.3">
      <c r="A59" t="s">
        <v>132</v>
      </c>
      <c r="B59" t="s">
        <v>133</v>
      </c>
      <c r="C59" t="s">
        <v>134</v>
      </c>
      <c r="D59" s="6">
        <v>3960</v>
      </c>
      <c r="E59">
        <v>58.3</v>
      </c>
      <c r="F59" s="6">
        <f>D59*E59%</f>
        <v>2308.6799999999998</v>
      </c>
      <c r="G59">
        <v>10.55</v>
      </c>
      <c r="H59" s="6">
        <v>156.6</v>
      </c>
      <c r="I59" s="8">
        <f>H59/F59</f>
        <v>6.7830968345548109E-2</v>
      </c>
    </row>
    <row r="60" spans="1:11" x14ac:dyDescent="0.3">
      <c r="A60" t="s">
        <v>141</v>
      </c>
      <c r="B60" t="s">
        <v>133</v>
      </c>
      <c r="C60" t="s">
        <v>142</v>
      </c>
      <c r="D60" s="6">
        <v>1516</v>
      </c>
      <c r="E60">
        <v>64.7</v>
      </c>
      <c r="F60" s="6">
        <f>D60*E60%</f>
        <v>980.85199999999998</v>
      </c>
      <c r="G60">
        <v>7.24</v>
      </c>
      <c r="H60" s="6">
        <v>65.06</v>
      </c>
      <c r="I60" s="8">
        <f>H60/F60</f>
        <v>6.6330088535273418E-2</v>
      </c>
    </row>
    <row r="61" spans="1:11" x14ac:dyDescent="0.3">
      <c r="A61" t="s">
        <v>157</v>
      </c>
      <c r="B61" t="s">
        <v>133</v>
      </c>
      <c r="C61" t="s">
        <v>142</v>
      </c>
      <c r="D61" s="6">
        <v>799</v>
      </c>
      <c r="E61">
        <v>65.5</v>
      </c>
      <c r="F61" s="6">
        <f>D61*E61%</f>
        <v>523.34500000000003</v>
      </c>
      <c r="G61">
        <v>3.67</v>
      </c>
      <c r="H61" s="6">
        <v>9.2200000000000006</v>
      </c>
      <c r="I61" s="8">
        <f>H61/F61</f>
        <v>1.761744164938998E-2</v>
      </c>
    </row>
    <row r="62" spans="1:11" x14ac:dyDescent="0.3">
      <c r="A62" t="s">
        <v>173</v>
      </c>
      <c r="B62" t="s">
        <v>133</v>
      </c>
      <c r="C62" t="s">
        <v>142</v>
      </c>
      <c r="D62" s="6">
        <v>812</v>
      </c>
      <c r="E62">
        <v>55.8</v>
      </c>
      <c r="F62" s="6">
        <f>D62*E62%</f>
        <v>453.09599999999995</v>
      </c>
      <c r="G62">
        <v>3.41</v>
      </c>
      <c r="H62" s="6">
        <v>15.99</v>
      </c>
      <c r="I62" s="8">
        <f>H62/F62</f>
        <v>3.529053445627417E-2</v>
      </c>
    </row>
    <row r="63" spans="1:11" x14ac:dyDescent="0.3">
      <c r="A63" t="s">
        <v>45</v>
      </c>
      <c r="B63" t="s">
        <v>46</v>
      </c>
      <c r="C63" t="s">
        <v>47</v>
      </c>
      <c r="D63" s="6">
        <v>2832</v>
      </c>
      <c r="E63">
        <v>88.9</v>
      </c>
      <c r="F63" s="6">
        <f>D63*E63%</f>
        <v>2517.6480000000001</v>
      </c>
      <c r="G63">
        <v>14.29</v>
      </c>
      <c r="H63" s="6">
        <v>452.09</v>
      </c>
      <c r="I63" s="8">
        <f>H63/F63</f>
        <v>0.17956839081555481</v>
      </c>
    </row>
    <row r="64" spans="1:11" x14ac:dyDescent="0.3">
      <c r="A64" t="s">
        <v>155</v>
      </c>
      <c r="B64" t="s">
        <v>46</v>
      </c>
      <c r="C64" t="s">
        <v>156</v>
      </c>
      <c r="D64" s="6">
        <v>746</v>
      </c>
      <c r="E64">
        <v>66.5</v>
      </c>
      <c r="F64" s="6">
        <f>D64*E64%</f>
        <v>496.09000000000003</v>
      </c>
      <c r="G64">
        <v>0</v>
      </c>
      <c r="H64" s="6">
        <v>1219.48</v>
      </c>
      <c r="I64" s="8">
        <f>H64/F64</f>
        <v>2.4581829909895379</v>
      </c>
    </row>
    <row r="65" spans="1:9" x14ac:dyDescent="0.3">
      <c r="A65" t="s">
        <v>57</v>
      </c>
      <c r="B65" t="s">
        <v>58</v>
      </c>
      <c r="C65" t="s">
        <v>59</v>
      </c>
      <c r="D65" s="6">
        <v>2386</v>
      </c>
      <c r="E65">
        <v>25.8</v>
      </c>
      <c r="F65" s="6">
        <f>D65*E65%</f>
        <v>615.58799999999997</v>
      </c>
      <c r="G65">
        <v>11.98</v>
      </c>
      <c r="H65" s="6">
        <v>276.06</v>
      </c>
      <c r="I65" s="8">
        <f>H65/F65</f>
        <v>0.4484492875104778</v>
      </c>
    </row>
    <row r="66" spans="1:9" x14ac:dyDescent="0.3">
      <c r="A66" t="s">
        <v>121</v>
      </c>
      <c r="B66" t="s">
        <v>58</v>
      </c>
      <c r="C66" t="s">
        <v>122</v>
      </c>
      <c r="D66" s="6">
        <v>1192</v>
      </c>
      <c r="E66">
        <v>69.2</v>
      </c>
      <c r="F66" s="6">
        <f>D66*E66%</f>
        <v>824.86400000000003</v>
      </c>
      <c r="G66">
        <v>15.97</v>
      </c>
      <c r="H66" s="6">
        <v>111.47</v>
      </c>
      <c r="I66" s="8">
        <f>H66/F66</f>
        <v>0.13513742871552159</v>
      </c>
    </row>
    <row r="67" spans="1:9" x14ac:dyDescent="0.3">
      <c r="A67" t="s">
        <v>92</v>
      </c>
      <c r="B67" t="s">
        <v>93</v>
      </c>
      <c r="C67" t="s">
        <v>94</v>
      </c>
      <c r="D67" s="6">
        <v>2809</v>
      </c>
      <c r="E67">
        <v>23.2</v>
      </c>
      <c r="F67" s="6">
        <f>D67*E67%</f>
        <v>651.68799999999999</v>
      </c>
      <c r="G67">
        <v>23.63</v>
      </c>
      <c r="H67" s="6">
        <v>702.82</v>
      </c>
      <c r="I67" s="8">
        <f>H67/F67</f>
        <v>1.078460858570359</v>
      </c>
    </row>
    <row r="68" spans="1:9" x14ac:dyDescent="0.3">
      <c r="A68" t="s">
        <v>98</v>
      </c>
      <c r="B68" t="s">
        <v>93</v>
      </c>
      <c r="C68" t="s">
        <v>94</v>
      </c>
      <c r="D68" s="6">
        <v>4385</v>
      </c>
      <c r="E68">
        <v>48.6</v>
      </c>
      <c r="F68" s="6">
        <f>D68*E68%</f>
        <v>2131.11</v>
      </c>
      <c r="G68">
        <v>2.0099999999999998</v>
      </c>
      <c r="H68" s="6">
        <v>146.77000000000001</v>
      </c>
      <c r="I68" s="8">
        <f>H68/F68</f>
        <v>6.8870213175293626E-2</v>
      </c>
    </row>
    <row r="69" spans="1:9" x14ac:dyDescent="0.3">
      <c r="A69" t="s">
        <v>174</v>
      </c>
      <c r="B69" t="s">
        <v>93</v>
      </c>
      <c r="C69" t="s">
        <v>175</v>
      </c>
      <c r="D69" s="6">
        <v>1026</v>
      </c>
      <c r="E69">
        <v>59.2</v>
      </c>
      <c r="F69" s="6">
        <f>D69*E69%</f>
        <v>607.39200000000005</v>
      </c>
      <c r="G69">
        <v>7.96</v>
      </c>
      <c r="H69" s="6">
        <v>95.52</v>
      </c>
      <c r="I69" s="8">
        <f>H69/F69</f>
        <v>0.15726252568357829</v>
      </c>
    </row>
    <row r="70" spans="1:9" x14ac:dyDescent="0.3">
      <c r="A70" t="s">
        <v>185</v>
      </c>
      <c r="B70" t="s">
        <v>93</v>
      </c>
      <c r="C70" t="s">
        <v>175</v>
      </c>
      <c r="D70" s="6">
        <v>280</v>
      </c>
      <c r="E70">
        <v>73.7</v>
      </c>
      <c r="F70" s="6">
        <f>D70*E70%</f>
        <v>206.35999999999999</v>
      </c>
      <c r="G70">
        <v>11.03</v>
      </c>
      <c r="H70" s="6">
        <v>10.63</v>
      </c>
      <c r="I70" s="8">
        <f>H70/F70</f>
        <v>5.1511920914905994E-2</v>
      </c>
    </row>
    <row r="71" spans="1:9" x14ac:dyDescent="0.3">
      <c r="A71" t="s">
        <v>187</v>
      </c>
      <c r="B71" t="s">
        <v>93</v>
      </c>
      <c r="C71" t="s">
        <v>188</v>
      </c>
      <c r="D71" s="6">
        <v>318</v>
      </c>
      <c r="E71">
        <v>48.6</v>
      </c>
      <c r="F71" s="6">
        <f>D71*E71%</f>
        <v>154.548</v>
      </c>
      <c r="G71">
        <v>4.12</v>
      </c>
      <c r="H71" s="6">
        <v>3.08</v>
      </c>
      <c r="I71" s="8">
        <f>H71/F71</f>
        <v>1.9929083520977303E-2</v>
      </c>
    </row>
    <row r="72" spans="1:9" x14ac:dyDescent="0.3">
      <c r="A72" t="s">
        <v>18</v>
      </c>
      <c r="B72" t="s">
        <v>19</v>
      </c>
      <c r="C72" t="s">
        <v>20</v>
      </c>
      <c r="D72" s="6">
        <v>13323</v>
      </c>
      <c r="E72">
        <v>54</v>
      </c>
      <c r="F72" s="6">
        <f>D72*E72%</f>
        <v>7194.42</v>
      </c>
      <c r="G72">
        <v>7.48</v>
      </c>
      <c r="H72" s="6">
        <v>1320.5</v>
      </c>
      <c r="I72" s="8">
        <f>H72/F72</f>
        <v>0.1835450251722863</v>
      </c>
    </row>
    <row r="73" spans="1:9" x14ac:dyDescent="0.3">
      <c r="A73" t="s">
        <v>31</v>
      </c>
      <c r="B73" t="s">
        <v>19</v>
      </c>
      <c r="C73" t="s">
        <v>20</v>
      </c>
      <c r="D73" s="6">
        <v>7040</v>
      </c>
      <c r="E73">
        <v>58.2</v>
      </c>
      <c r="F73" s="6">
        <f>D73*E73%</f>
        <v>4097.2800000000007</v>
      </c>
      <c r="G73">
        <v>2.1800000000000002</v>
      </c>
      <c r="H73" s="6">
        <v>78.83</v>
      </c>
      <c r="I73" s="8">
        <f>H73/F73</f>
        <v>1.9239593095907524E-2</v>
      </c>
    </row>
    <row r="74" spans="1:9" x14ac:dyDescent="0.3">
      <c r="A74" t="s">
        <v>43</v>
      </c>
      <c r="B74" t="s">
        <v>19</v>
      </c>
      <c r="C74" t="s">
        <v>44</v>
      </c>
      <c r="D74" s="6">
        <v>3424</v>
      </c>
      <c r="E74">
        <v>54.5</v>
      </c>
      <c r="F74" s="6">
        <f>D74*E74%</f>
        <v>1866.0800000000002</v>
      </c>
      <c r="G74">
        <v>2.68</v>
      </c>
      <c r="H74" s="6">
        <v>55.07</v>
      </c>
      <c r="I74" s="8">
        <f>H74/F74</f>
        <v>2.9511060619051701E-2</v>
      </c>
    </row>
    <row r="75" spans="1:9" x14ac:dyDescent="0.3">
      <c r="A75" t="s">
        <v>69</v>
      </c>
      <c r="B75" t="s">
        <v>19</v>
      </c>
      <c r="C75" t="s">
        <v>70</v>
      </c>
      <c r="D75" s="6">
        <v>5807</v>
      </c>
      <c r="E75">
        <v>58.9</v>
      </c>
      <c r="F75" s="6">
        <f>D75*E75%</f>
        <v>3420.3229999999999</v>
      </c>
      <c r="G75">
        <v>7.59</v>
      </c>
      <c r="H75" s="6">
        <v>96.15</v>
      </c>
      <c r="I75" s="8">
        <f>H75/F75</f>
        <v>2.8111380124040918E-2</v>
      </c>
    </row>
    <row r="76" spans="1:9" x14ac:dyDescent="0.3">
      <c r="A76" t="s">
        <v>71</v>
      </c>
      <c r="B76" t="s">
        <v>19</v>
      </c>
      <c r="C76" t="s">
        <v>72</v>
      </c>
      <c r="D76" s="6">
        <v>2202</v>
      </c>
      <c r="E76">
        <v>40.799999999999997</v>
      </c>
      <c r="F76" s="6">
        <f>D76*E76%</f>
        <v>898.41599999999994</v>
      </c>
      <c r="G76">
        <v>3.64</v>
      </c>
      <c r="H76" s="6">
        <v>19.61</v>
      </c>
      <c r="I76" s="8">
        <f>H76/F76</f>
        <v>2.1827304945593134E-2</v>
      </c>
    </row>
    <row r="77" spans="1:9" x14ac:dyDescent="0.3">
      <c r="A77" t="s">
        <v>80</v>
      </c>
      <c r="B77" t="s">
        <v>19</v>
      </c>
      <c r="C77" t="s">
        <v>20</v>
      </c>
      <c r="D77" s="6">
        <v>2828</v>
      </c>
      <c r="E77">
        <v>56</v>
      </c>
      <c r="F77" s="6">
        <f>D77*E77%</f>
        <v>1583.68</v>
      </c>
      <c r="G77">
        <v>2.71</v>
      </c>
      <c r="H77" s="6">
        <v>1030.94</v>
      </c>
      <c r="I77" s="8">
        <f>H77/F77</f>
        <v>0.65097747019599916</v>
      </c>
    </row>
    <row r="78" spans="1:9" x14ac:dyDescent="0.3">
      <c r="A78" t="s">
        <v>88</v>
      </c>
      <c r="B78" t="s">
        <v>19</v>
      </c>
      <c r="C78" t="s">
        <v>20</v>
      </c>
      <c r="D78" s="6">
        <v>1628</v>
      </c>
      <c r="E78">
        <v>65.599999999999994</v>
      </c>
      <c r="F78" s="6">
        <f>D78*E78%</f>
        <v>1067.9679999999998</v>
      </c>
      <c r="G78">
        <v>4.8499999999999996</v>
      </c>
      <c r="H78" s="6">
        <v>83.29</v>
      </c>
      <c r="I78" s="8">
        <f>H78/F78</f>
        <v>7.7989228141667186E-2</v>
      </c>
    </row>
    <row r="79" spans="1:9" x14ac:dyDescent="0.3">
      <c r="A79" t="s">
        <v>95</v>
      </c>
      <c r="B79" t="s">
        <v>19</v>
      </c>
      <c r="C79" t="s">
        <v>44</v>
      </c>
      <c r="D79" s="6">
        <v>2404</v>
      </c>
      <c r="E79">
        <v>53</v>
      </c>
      <c r="F79" s="6">
        <f>D79*E79%</f>
        <v>1274.1200000000001</v>
      </c>
      <c r="G79">
        <v>5.55</v>
      </c>
      <c r="H79" s="6">
        <v>28.82</v>
      </c>
      <c r="I79" s="8">
        <f>H79/F79</f>
        <v>2.2619533481932626E-2</v>
      </c>
    </row>
    <row r="80" spans="1:9" x14ac:dyDescent="0.3">
      <c r="A80" t="s">
        <v>101</v>
      </c>
      <c r="B80" t="s">
        <v>19</v>
      </c>
      <c r="C80" t="s">
        <v>70</v>
      </c>
      <c r="D80" s="6">
        <v>2727</v>
      </c>
      <c r="E80">
        <v>65.8</v>
      </c>
      <c r="F80" s="6">
        <f>D80*E80%</f>
        <v>1794.3659999999998</v>
      </c>
      <c r="G80">
        <v>23.75</v>
      </c>
      <c r="H80" s="6">
        <v>2162.5100000000002</v>
      </c>
      <c r="I80" s="8">
        <f>H80/F80</f>
        <v>1.2051666159523757</v>
      </c>
    </row>
    <row r="81" spans="1:11" x14ac:dyDescent="0.3">
      <c r="A81" t="s">
        <v>111</v>
      </c>
      <c r="B81" t="s">
        <v>19</v>
      </c>
      <c r="C81" t="s">
        <v>112</v>
      </c>
      <c r="D81" s="6">
        <v>1570</v>
      </c>
      <c r="E81">
        <v>49.8</v>
      </c>
      <c r="F81" s="6">
        <f>D81*E81%</f>
        <v>781.86</v>
      </c>
      <c r="G81">
        <v>1.23</v>
      </c>
      <c r="H81" s="6">
        <v>10.48</v>
      </c>
      <c r="I81" s="8">
        <f>H81/F81</f>
        <v>1.3403934208170262E-2</v>
      </c>
    </row>
    <row r="82" spans="1:11" hidden="1" x14ac:dyDescent="0.3">
      <c r="A82" t="s">
        <v>152</v>
      </c>
      <c r="B82" t="s">
        <v>133</v>
      </c>
      <c r="C82" t="s">
        <v>134</v>
      </c>
      <c r="D82" s="6">
        <v>763</v>
      </c>
      <c r="E82">
        <v>51</v>
      </c>
      <c r="F82" s="6">
        <f>D82*E82%</f>
        <v>389.13</v>
      </c>
      <c r="G82">
        <v>-6.28</v>
      </c>
      <c r="H82" s="6">
        <v>94.84</v>
      </c>
      <c r="I82" s="8">
        <f>H82/F82</f>
        <v>0.24372317734433224</v>
      </c>
      <c r="K82"/>
    </row>
    <row r="83" spans="1:11" x14ac:dyDescent="0.3">
      <c r="A83" t="s">
        <v>114</v>
      </c>
      <c r="B83" t="s">
        <v>19</v>
      </c>
      <c r="C83" t="s">
        <v>20</v>
      </c>
      <c r="D83" s="6">
        <v>1682</v>
      </c>
      <c r="E83">
        <v>78.599999999999994</v>
      </c>
      <c r="F83" s="6">
        <f>D83*E83%</f>
        <v>1322.0519999999999</v>
      </c>
      <c r="G83">
        <v>10.6</v>
      </c>
      <c r="H83" s="6">
        <v>276.92</v>
      </c>
      <c r="I83" s="8">
        <f>H83/F83</f>
        <v>0.20946226018341188</v>
      </c>
    </row>
    <row r="84" spans="1:11" x14ac:dyDescent="0.3">
      <c r="A84" t="s">
        <v>130</v>
      </c>
      <c r="B84" t="s">
        <v>19</v>
      </c>
      <c r="C84" t="s">
        <v>112</v>
      </c>
      <c r="D84" s="6">
        <v>1211</v>
      </c>
      <c r="E84">
        <v>58.2</v>
      </c>
      <c r="F84" s="6">
        <f>D84*E84%</f>
        <v>704.80200000000013</v>
      </c>
      <c r="G84">
        <v>12.6</v>
      </c>
      <c r="H84" s="6">
        <v>487.64</v>
      </c>
      <c r="I84" s="8">
        <f>H84/F84</f>
        <v>0.69188225913093304</v>
      </c>
    </row>
    <row r="85" spans="1:11" x14ac:dyDescent="0.3">
      <c r="A85" t="s">
        <v>131</v>
      </c>
      <c r="B85" t="s">
        <v>19</v>
      </c>
      <c r="C85" t="s">
        <v>20</v>
      </c>
      <c r="D85" s="6">
        <v>4461</v>
      </c>
      <c r="E85">
        <v>59.3</v>
      </c>
      <c r="F85" s="6">
        <f>D85*E85%</f>
        <v>2645.373</v>
      </c>
      <c r="G85">
        <v>29.9</v>
      </c>
      <c r="H85" s="6">
        <v>1405.8</v>
      </c>
      <c r="I85" s="8">
        <f>H85/F85</f>
        <v>0.53141844269220251</v>
      </c>
    </row>
    <row r="86" spans="1:11" hidden="1" x14ac:dyDescent="0.3">
      <c r="A86" t="s">
        <v>158</v>
      </c>
      <c r="B86" t="s">
        <v>90</v>
      </c>
      <c r="C86" t="s">
        <v>159</v>
      </c>
      <c r="D86" s="6">
        <v>986</v>
      </c>
      <c r="E86">
        <v>52.5</v>
      </c>
      <c r="F86" s="6">
        <f>D86*E86%</f>
        <v>517.65</v>
      </c>
      <c r="G86">
        <v>-1.71</v>
      </c>
      <c r="H86" s="6">
        <v>71.64</v>
      </c>
      <c r="I86" s="8">
        <f>H86/F86</f>
        <v>0.13839466821211244</v>
      </c>
      <c r="K86"/>
    </row>
    <row r="87" spans="1:11" hidden="1" x14ac:dyDescent="0.3">
      <c r="A87" t="s">
        <v>160</v>
      </c>
      <c r="B87" t="s">
        <v>19</v>
      </c>
      <c r="C87" t="s">
        <v>20</v>
      </c>
      <c r="D87" s="6">
        <v>751</v>
      </c>
      <c r="E87">
        <v>66.599999999999994</v>
      </c>
      <c r="F87" s="6">
        <f>D87*E87%</f>
        <v>500.16599999999994</v>
      </c>
      <c r="G87">
        <v>-5.52</v>
      </c>
      <c r="H87" s="6">
        <v>29.76</v>
      </c>
      <c r="I87" s="8">
        <f>H87/F87</f>
        <v>5.9500245918355114E-2</v>
      </c>
      <c r="K87"/>
    </row>
    <row r="88" spans="1:11" x14ac:dyDescent="0.3">
      <c r="A88" t="s">
        <v>136</v>
      </c>
      <c r="B88" t="s">
        <v>19</v>
      </c>
      <c r="C88" t="s">
        <v>137</v>
      </c>
      <c r="D88" s="6">
        <v>1724</v>
      </c>
      <c r="E88">
        <v>58.3</v>
      </c>
      <c r="F88" s="6">
        <f>D88*E88%</f>
        <v>1005.092</v>
      </c>
      <c r="G88">
        <v>15.43</v>
      </c>
      <c r="H88" s="6">
        <v>1416.33</v>
      </c>
      <c r="I88" s="8">
        <f>H88/F88</f>
        <v>1.4091545848539238</v>
      </c>
    </row>
    <row r="89" spans="1:11" hidden="1" x14ac:dyDescent="0.3">
      <c r="A89" t="s">
        <v>162</v>
      </c>
      <c r="B89" t="s">
        <v>19</v>
      </c>
      <c r="C89" t="s">
        <v>72</v>
      </c>
      <c r="D89" s="6">
        <v>696</v>
      </c>
      <c r="E89">
        <v>46</v>
      </c>
      <c r="F89" s="6">
        <f>D89*E89%</f>
        <v>320.16000000000003</v>
      </c>
      <c r="G89">
        <v>-4.63</v>
      </c>
      <c r="H89" s="6">
        <v>49.33</v>
      </c>
      <c r="I89" s="8">
        <f>H89/F89</f>
        <v>0.15407921039480257</v>
      </c>
      <c r="K89"/>
    </row>
    <row r="90" spans="1:11" x14ac:dyDescent="0.3">
      <c r="A90" t="s">
        <v>140</v>
      </c>
      <c r="B90" t="s">
        <v>19</v>
      </c>
      <c r="C90" t="s">
        <v>70</v>
      </c>
      <c r="D90" s="6">
        <v>917</v>
      </c>
      <c r="E90">
        <v>47.5</v>
      </c>
      <c r="F90" s="6">
        <f>D90*E90%</f>
        <v>435.57499999999999</v>
      </c>
      <c r="G90">
        <v>7.59</v>
      </c>
      <c r="H90" s="6">
        <v>55.99</v>
      </c>
      <c r="I90" s="8">
        <f>H90/F90</f>
        <v>0.12854273087298398</v>
      </c>
    </row>
    <row r="91" spans="1:11" x14ac:dyDescent="0.3">
      <c r="A91" t="s">
        <v>143</v>
      </c>
      <c r="B91" t="s">
        <v>19</v>
      </c>
      <c r="C91" t="s">
        <v>72</v>
      </c>
      <c r="D91" s="6">
        <v>956</v>
      </c>
      <c r="E91">
        <v>39.799999999999997</v>
      </c>
      <c r="F91" s="6">
        <f>D91*E91%</f>
        <v>380.48799999999994</v>
      </c>
      <c r="G91">
        <v>13.92</v>
      </c>
      <c r="H91" s="6">
        <v>1471.56</v>
      </c>
      <c r="I91" s="8">
        <f>H91/F91</f>
        <v>3.8675595550976647</v>
      </c>
    </row>
    <row r="92" spans="1:11" x14ac:dyDescent="0.3">
      <c r="A92" t="s">
        <v>144</v>
      </c>
      <c r="B92" t="s">
        <v>19</v>
      </c>
      <c r="C92" t="s">
        <v>20</v>
      </c>
      <c r="D92" s="6">
        <v>1335</v>
      </c>
      <c r="E92">
        <v>53.5</v>
      </c>
      <c r="F92" s="6">
        <f>D92*E92%</f>
        <v>714.22500000000002</v>
      </c>
      <c r="G92">
        <v>8.69</v>
      </c>
      <c r="H92" s="6">
        <v>21.12</v>
      </c>
      <c r="I92" s="8">
        <f>H92/F92</f>
        <v>2.957051349364696E-2</v>
      </c>
    </row>
    <row r="93" spans="1:11" x14ac:dyDescent="0.3">
      <c r="A93" t="s">
        <v>149</v>
      </c>
      <c r="B93" t="s">
        <v>19</v>
      </c>
      <c r="C93" t="s">
        <v>150</v>
      </c>
      <c r="D93" s="6">
        <v>701</v>
      </c>
      <c r="E93">
        <v>49.1</v>
      </c>
      <c r="F93" s="6">
        <f>D93*E93%</f>
        <v>344.19099999999997</v>
      </c>
      <c r="G93">
        <v>2.33</v>
      </c>
      <c r="H93" s="6">
        <v>5.39</v>
      </c>
      <c r="I93" s="8">
        <f>H93/F93</f>
        <v>1.5659909759406843E-2</v>
      </c>
    </row>
    <row r="94" spans="1:11" x14ac:dyDescent="0.3">
      <c r="A94" t="s">
        <v>151</v>
      </c>
      <c r="B94" t="s">
        <v>19</v>
      </c>
      <c r="C94" t="s">
        <v>20</v>
      </c>
      <c r="D94" s="6">
        <v>3655</v>
      </c>
      <c r="E94">
        <v>71.8</v>
      </c>
      <c r="F94" s="6">
        <f>D94*E94%</f>
        <v>2624.29</v>
      </c>
      <c r="G94">
        <v>5</v>
      </c>
      <c r="H94" s="6">
        <v>1238.1099999999999</v>
      </c>
      <c r="I94" s="8">
        <f>H94/F94</f>
        <v>0.47178855995335878</v>
      </c>
    </row>
    <row r="95" spans="1:11" x14ac:dyDescent="0.3">
      <c r="A95" t="s">
        <v>163</v>
      </c>
      <c r="B95" t="s">
        <v>19</v>
      </c>
      <c r="C95" t="s">
        <v>20</v>
      </c>
      <c r="D95" s="6">
        <v>914</v>
      </c>
      <c r="E95">
        <v>78.400000000000006</v>
      </c>
      <c r="F95" s="6">
        <f>D95*E95%</f>
        <v>716.57600000000002</v>
      </c>
      <c r="G95">
        <v>7.54</v>
      </c>
      <c r="H95" s="6">
        <v>620.32000000000005</v>
      </c>
      <c r="I95" s="8">
        <f>H95/F95</f>
        <v>0.8656723083106328</v>
      </c>
    </row>
    <row r="96" spans="1:11" x14ac:dyDescent="0.3">
      <c r="A96" t="s">
        <v>164</v>
      </c>
      <c r="B96" t="s">
        <v>19</v>
      </c>
      <c r="C96" t="s">
        <v>112</v>
      </c>
      <c r="D96" s="6">
        <v>804</v>
      </c>
      <c r="E96">
        <v>73.3</v>
      </c>
      <c r="F96" s="6">
        <f>D96*E96%</f>
        <v>589.33199999999999</v>
      </c>
      <c r="G96">
        <v>9.92</v>
      </c>
      <c r="H96" s="6">
        <v>138.94999999999999</v>
      </c>
      <c r="I96" s="8">
        <f>H96/F96</f>
        <v>0.23577542030638077</v>
      </c>
    </row>
    <row r="97" spans="1:11" x14ac:dyDescent="0.3">
      <c r="A97" t="s">
        <v>165</v>
      </c>
      <c r="B97" t="s">
        <v>19</v>
      </c>
      <c r="C97" t="s">
        <v>20</v>
      </c>
      <c r="D97" s="6">
        <v>1003</v>
      </c>
      <c r="E97">
        <v>48.2</v>
      </c>
      <c r="F97" s="6">
        <f>D97*E97%</f>
        <v>483.44600000000003</v>
      </c>
      <c r="G97">
        <v>4.1100000000000003</v>
      </c>
      <c r="H97" s="6">
        <v>1131.73</v>
      </c>
      <c r="I97" s="8">
        <f>H97/F97</f>
        <v>2.3409646578935392</v>
      </c>
    </row>
    <row r="98" spans="1:11" hidden="1" x14ac:dyDescent="0.3">
      <c r="A98" t="s">
        <v>172</v>
      </c>
      <c r="B98" t="s">
        <v>8</v>
      </c>
      <c r="C98" t="s">
        <v>56</v>
      </c>
      <c r="D98" s="6">
        <v>560</v>
      </c>
      <c r="E98">
        <v>67.400000000000006</v>
      </c>
      <c r="F98" s="6">
        <f>D98*E98%</f>
        <v>377.44</v>
      </c>
      <c r="G98">
        <v>-1.69</v>
      </c>
      <c r="H98" s="6">
        <v>21.24</v>
      </c>
      <c r="I98" s="8">
        <f>H98/F98</f>
        <v>5.6273844849512498E-2</v>
      </c>
      <c r="K98"/>
    </row>
    <row r="99" spans="1:11" x14ac:dyDescent="0.3">
      <c r="A99" t="s">
        <v>166</v>
      </c>
      <c r="B99" t="s">
        <v>19</v>
      </c>
      <c r="C99" t="s">
        <v>72</v>
      </c>
      <c r="D99" s="6">
        <v>658</v>
      </c>
      <c r="E99">
        <v>49</v>
      </c>
      <c r="F99" s="6">
        <f>D99*E99%</f>
        <v>322.42</v>
      </c>
      <c r="G99">
        <v>6.65</v>
      </c>
      <c r="H99" s="6">
        <v>421.84</v>
      </c>
      <c r="I99" s="8">
        <f>H99/F99</f>
        <v>1.3083555610694124</v>
      </c>
    </row>
    <row r="100" spans="1:11" x14ac:dyDescent="0.3">
      <c r="A100" t="s">
        <v>169</v>
      </c>
      <c r="B100" t="s">
        <v>19</v>
      </c>
      <c r="C100" t="s">
        <v>72</v>
      </c>
      <c r="D100" s="6">
        <v>662</v>
      </c>
      <c r="E100">
        <v>57.7</v>
      </c>
      <c r="F100" s="6">
        <f>D100*E100%</f>
        <v>381.97400000000005</v>
      </c>
      <c r="G100">
        <v>1.25</v>
      </c>
      <c r="H100" s="6">
        <v>5.77</v>
      </c>
      <c r="I100" s="8">
        <f>H100/F100</f>
        <v>1.510574018126888E-2</v>
      </c>
    </row>
    <row r="101" spans="1:11" hidden="1" x14ac:dyDescent="0.3">
      <c r="A101" t="s">
        <v>176</v>
      </c>
      <c r="B101" t="s">
        <v>58</v>
      </c>
      <c r="C101" t="s">
        <v>122</v>
      </c>
      <c r="D101" s="6">
        <v>979</v>
      </c>
      <c r="E101">
        <v>19.5</v>
      </c>
      <c r="F101" s="6">
        <f>D101*E101%</f>
        <v>190.905</v>
      </c>
      <c r="G101">
        <v>-3.38</v>
      </c>
      <c r="H101" s="6">
        <v>634.41999999999996</v>
      </c>
      <c r="I101" s="8">
        <f>H101/F101</f>
        <v>3.3232235928865141</v>
      </c>
      <c r="K101"/>
    </row>
    <row r="102" spans="1:11" x14ac:dyDescent="0.3">
      <c r="A102" t="s">
        <v>177</v>
      </c>
      <c r="B102" t="s">
        <v>19</v>
      </c>
      <c r="C102" t="s">
        <v>137</v>
      </c>
      <c r="D102" s="6">
        <v>1053</v>
      </c>
      <c r="E102">
        <v>61.2</v>
      </c>
      <c r="F102" s="6">
        <f>D102*E102%</f>
        <v>644.43600000000004</v>
      </c>
      <c r="G102">
        <v>3.04</v>
      </c>
      <c r="H102" s="6">
        <v>670.16</v>
      </c>
      <c r="I102" s="8">
        <f>H102/F102</f>
        <v>1.0399170747754625</v>
      </c>
    </row>
    <row r="103" spans="1:11" x14ac:dyDescent="0.3">
      <c r="A103" t="s">
        <v>186</v>
      </c>
      <c r="B103" t="s">
        <v>19</v>
      </c>
      <c r="C103" t="s">
        <v>20</v>
      </c>
      <c r="D103" s="6">
        <v>479</v>
      </c>
      <c r="E103">
        <v>65.400000000000006</v>
      </c>
      <c r="F103" s="6">
        <f>D103*E103%</f>
        <v>313.26600000000002</v>
      </c>
      <c r="G103">
        <v>4.32</v>
      </c>
      <c r="H103" s="6">
        <v>41.89</v>
      </c>
      <c r="I103" s="8">
        <f>H103/F103</f>
        <v>0.13372022498451794</v>
      </c>
    </row>
    <row r="104" spans="1:11" x14ac:dyDescent="0.3">
      <c r="A104" t="s">
        <v>190</v>
      </c>
      <c r="B104" t="s">
        <v>19</v>
      </c>
      <c r="C104" t="s">
        <v>72</v>
      </c>
      <c r="D104" s="6">
        <v>1887</v>
      </c>
      <c r="E104">
        <v>76</v>
      </c>
      <c r="F104" s="6">
        <f>D104*E104%</f>
        <v>1434.1200000000001</v>
      </c>
      <c r="G104">
        <v>7.49</v>
      </c>
      <c r="H104" s="6">
        <v>461.68</v>
      </c>
      <c r="I104" s="8">
        <f>H104/F104</f>
        <v>0.32192564081108971</v>
      </c>
      <c r="J104" s="6">
        <v>14757</v>
      </c>
      <c r="K104" s="8">
        <f>J104/$L$2</f>
        <v>0.25038600539559192</v>
      </c>
    </row>
    <row r="105" spans="1:11" x14ac:dyDescent="0.3">
      <c r="A105" t="s">
        <v>38</v>
      </c>
      <c r="B105" t="s">
        <v>22</v>
      </c>
      <c r="C105" t="s">
        <v>39</v>
      </c>
      <c r="D105" s="6">
        <v>6979</v>
      </c>
      <c r="E105">
        <v>58.7</v>
      </c>
      <c r="F105" s="6">
        <f>D105*E105%</f>
        <v>4096.6730000000007</v>
      </c>
      <c r="G105">
        <v>1.78</v>
      </c>
      <c r="H105" s="6">
        <v>102.19</v>
      </c>
      <c r="I105" s="8">
        <f>H105/F105</f>
        <v>2.4944631900080866E-2</v>
      </c>
    </row>
    <row r="106" spans="1:11" x14ac:dyDescent="0.3">
      <c r="A106" t="s">
        <v>67</v>
      </c>
      <c r="B106" t="s">
        <v>22</v>
      </c>
      <c r="C106" t="s">
        <v>68</v>
      </c>
      <c r="D106" s="6">
        <v>3562</v>
      </c>
      <c r="E106">
        <v>52.3</v>
      </c>
      <c r="F106" s="6">
        <f>D106*E106%</f>
        <v>1862.9260000000002</v>
      </c>
      <c r="G106">
        <v>29.96</v>
      </c>
      <c r="H106" s="6">
        <v>1495.32</v>
      </c>
      <c r="I106" s="8">
        <f>H106/F106</f>
        <v>0.80267278464093572</v>
      </c>
    </row>
    <row r="107" spans="1:11" x14ac:dyDescent="0.3">
      <c r="A107" t="s">
        <v>74</v>
      </c>
      <c r="B107" t="s">
        <v>22</v>
      </c>
      <c r="C107" t="s">
        <v>39</v>
      </c>
      <c r="D107" s="6">
        <v>2449</v>
      </c>
      <c r="E107">
        <v>63.1</v>
      </c>
      <c r="F107" s="6">
        <f>D107*E107%</f>
        <v>1545.319</v>
      </c>
      <c r="G107">
        <v>1.48</v>
      </c>
      <c r="H107" s="6">
        <v>67.69</v>
      </c>
      <c r="I107" s="8">
        <f>H107/F107</f>
        <v>4.380325356770997E-2</v>
      </c>
    </row>
    <row r="108" spans="1:11" x14ac:dyDescent="0.3">
      <c r="A108" t="s">
        <v>85</v>
      </c>
      <c r="B108" t="s">
        <v>22</v>
      </c>
      <c r="C108" t="s">
        <v>68</v>
      </c>
      <c r="D108" s="6">
        <v>1697</v>
      </c>
      <c r="E108">
        <v>68.5</v>
      </c>
      <c r="F108" s="6">
        <f>D108*E108%</f>
        <v>1162.4450000000002</v>
      </c>
      <c r="G108">
        <v>5.95</v>
      </c>
      <c r="H108" s="6">
        <v>102.1</v>
      </c>
      <c r="I108" s="8">
        <f>H108/F108</f>
        <v>8.7832112487042382E-2</v>
      </c>
    </row>
    <row r="109" spans="1:11" x14ac:dyDescent="0.3">
      <c r="A109" t="s">
        <v>99</v>
      </c>
      <c r="B109" t="s">
        <v>22</v>
      </c>
      <c r="C109" t="s">
        <v>100</v>
      </c>
      <c r="D109" s="6">
        <v>1561</v>
      </c>
      <c r="E109">
        <v>52.5</v>
      </c>
      <c r="F109" s="6">
        <f>D109*E109%</f>
        <v>819.52500000000009</v>
      </c>
      <c r="G109">
        <v>0.92</v>
      </c>
      <c r="H109" s="6">
        <v>11.52</v>
      </c>
      <c r="I109" s="8">
        <f>H109/F109</f>
        <v>1.4056923217717579E-2</v>
      </c>
    </row>
    <row r="110" spans="1:11" x14ac:dyDescent="0.3">
      <c r="A110" t="s">
        <v>138</v>
      </c>
      <c r="B110" t="s">
        <v>22</v>
      </c>
      <c r="C110" t="s">
        <v>39</v>
      </c>
      <c r="D110" s="6">
        <v>1123</v>
      </c>
      <c r="E110">
        <v>78.8</v>
      </c>
      <c r="F110" s="6">
        <f>D110*E110%</f>
        <v>884.92399999999986</v>
      </c>
      <c r="G110">
        <v>9.17</v>
      </c>
      <c r="H110" s="6">
        <v>73.3</v>
      </c>
      <c r="I110" s="8">
        <f>H110/F110</f>
        <v>8.2831972011155774E-2</v>
      </c>
    </row>
    <row r="111" spans="1:11" hidden="1" x14ac:dyDescent="0.3">
      <c r="A111" t="s">
        <v>189</v>
      </c>
      <c r="B111" t="s">
        <v>77</v>
      </c>
      <c r="C111" t="s">
        <v>78</v>
      </c>
      <c r="D111" s="6">
        <v>2308</v>
      </c>
      <c r="E111">
        <v>57.1</v>
      </c>
      <c r="F111" s="6">
        <f>D111*E111%</f>
        <v>1317.8680000000002</v>
      </c>
      <c r="G111">
        <v>-26.04</v>
      </c>
      <c r="H111" s="6">
        <v>271.61</v>
      </c>
      <c r="I111" s="8">
        <f>H111/F111</f>
        <v>0.20609803106229149</v>
      </c>
      <c r="K111"/>
    </row>
    <row r="112" spans="1:11" x14ac:dyDescent="0.3">
      <c r="A112" t="s">
        <v>147</v>
      </c>
      <c r="B112" t="s">
        <v>22</v>
      </c>
      <c r="C112" t="s">
        <v>148</v>
      </c>
      <c r="D112" s="6">
        <v>1189</v>
      </c>
      <c r="E112">
        <v>54.9</v>
      </c>
      <c r="F112" s="6">
        <f>D112*E112%</f>
        <v>652.76099999999997</v>
      </c>
      <c r="G112">
        <v>9.83</v>
      </c>
      <c r="H112" s="6">
        <v>66.989999999999995</v>
      </c>
      <c r="I112" s="8">
        <f>H112/F112</f>
        <v>0.10262561642009863</v>
      </c>
    </row>
    <row r="113" spans="1:9" x14ac:dyDescent="0.3">
      <c r="A113" t="s">
        <v>178</v>
      </c>
      <c r="B113" t="s">
        <v>22</v>
      </c>
      <c r="C113" t="s">
        <v>179</v>
      </c>
      <c r="D113" s="6">
        <v>458</v>
      </c>
      <c r="E113">
        <v>28</v>
      </c>
      <c r="F113" s="6">
        <f>D113*E113%</f>
        <v>128.24</v>
      </c>
      <c r="G113">
        <v>19.18</v>
      </c>
      <c r="H113" s="6">
        <v>35.520000000000003</v>
      </c>
      <c r="I113" s="8">
        <f>H113/F113</f>
        <v>0.27698066126013726</v>
      </c>
    </row>
  </sheetData>
  <autoFilter ref="A1:I113">
    <filterColumn colId="6">
      <customFilters>
        <customFilter operator="greaterThanOrEqual" val="0"/>
      </customFilters>
    </filterColumn>
    <sortState ref="A2:I113">
      <sortCondition descending="1" ref="B1:B113"/>
    </sortState>
  </autoFilter>
  <phoneticPr fontId="18" type="noConversion"/>
  <conditionalFormatting sqref="I1">
    <cfRule type="top10" dxfId="13" priority="15" percent="1" rank="30"/>
  </conditionalFormatting>
  <conditionalFormatting sqref="I1">
    <cfRule type="top10" dxfId="12" priority="14" percent="1" rank="30"/>
  </conditionalFormatting>
  <conditionalFormatting sqref="I1">
    <cfRule type="top10" dxfId="11" priority="13" percent="1" rank="30"/>
  </conditionalFormatting>
  <conditionalFormatting sqref="I1">
    <cfRule type="top10" dxfId="10" priority="11" percent="1" rank="30"/>
    <cfRule type="top10" dxfId="9" priority="12" percent="1" rank="30"/>
  </conditionalFormatting>
  <conditionalFormatting sqref="I1">
    <cfRule type="top10" dxfId="8" priority="10" percent="1" rank="30"/>
  </conditionalFormatting>
  <conditionalFormatting sqref="I1">
    <cfRule type="top10" dxfId="7" priority="9" percent="1" rank="30"/>
  </conditionalFormatting>
  <conditionalFormatting sqref="I1">
    <cfRule type="top10" dxfId="6" priority="8" percent="1" rank="30"/>
  </conditionalFormatting>
  <conditionalFormatting sqref="I1">
    <cfRule type="top10" dxfId="5" priority="7" percent="1" rank="30"/>
  </conditionalFormatting>
  <conditionalFormatting sqref="I1">
    <cfRule type="top10" dxfId="4" priority="6" percent="1" rank="30"/>
  </conditionalFormatting>
  <conditionalFormatting sqref="I1">
    <cfRule type="top10" dxfId="3" priority="5" percent="1" rank="30"/>
  </conditionalFormatting>
  <conditionalFormatting sqref="I1">
    <cfRule type="top10" dxfId="2" priority="4" percent="1" rank="30"/>
  </conditionalFormatting>
  <conditionalFormatting sqref="I2:I113">
    <cfRule type="top10" dxfId="1" priority="3" percent="1" rank="30"/>
  </conditionalFormatting>
  <conditionalFormatting sqref="I2:I113">
    <cfRule type="top10" dxfId="0" priority="2" percent="1" rank="30"/>
  </conditionalFormatting>
  <conditionalFormatting sqref="O2:O30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{A4ED17C1-E9DC-4E9F-A702-A6163E2FC744}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4ED17C1-E9DC-4E9F-A702-A6163E2FC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O2:O30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20240120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 Kim</dc:creator>
  <cp:lastModifiedBy>r.v.wise82@gmail.com</cp:lastModifiedBy>
  <dcterms:created xsi:type="dcterms:W3CDTF">2024-01-20T09:42:03Z</dcterms:created>
  <dcterms:modified xsi:type="dcterms:W3CDTF">2024-01-20T09:42:03Z</dcterms:modified>
</cp:coreProperties>
</file>